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xampp\htdocs\ayllu-convocatoria\material\convocatiria\"/>
    </mc:Choice>
  </mc:AlternateContent>
  <bookViews>
    <workbookView xWindow="0" yWindow="0" windowWidth="20490" windowHeight="7755" tabRatio="848"/>
  </bookViews>
  <sheets>
    <sheet name="Plantilla" sheetId="22" r:id="rId1"/>
    <sheet name="1InvernaderoHidroponicoSolarV4" sheetId="16" r:id="rId2"/>
    <sheet name="2FrigorificoSolarV2" sheetId="18" r:id="rId3"/>
    <sheet name="3RutaTuristicaSolarV3" sheetId="17" r:id="rId4"/>
    <sheet name="4Camarones_sensibilidad2" sheetId="3" r:id="rId5"/>
    <sheet name="5AguaPotableV1" sheetId="19" r:id="rId6"/>
    <sheet name="6HospedajeAltaAcondSolarV2" sheetId="20" r:id="rId7"/>
    <sheet name="7Microredsensibilidad2" sheetId="15" r:id="rId8"/>
    <sheet name="8Invernaderolilum_modificado2" sheetId="8" r:id="rId9"/>
    <sheet name="9Lanacamelidomodificado1" sheetId="10" r:id="rId10"/>
    <sheet name="10Rutastroperasmodificado2" sheetId="14" r:id="rId11"/>
    <sheet name="11DeshidratadorSolarV2" sheetId="21" r:id="rId1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96" i="22" l="1"/>
  <c r="F96" i="22"/>
  <c r="D96" i="22"/>
  <c r="C14" i="22"/>
  <c r="C17" i="22"/>
  <c r="C21" i="22"/>
  <c r="C22" i="22"/>
  <c r="C57" i="22"/>
  <c r="E43" i="22"/>
  <c r="E44" i="22"/>
  <c r="E45" i="22"/>
  <c r="E38" i="22"/>
  <c r="E39" i="22"/>
  <c r="E40" i="22"/>
  <c r="E41" i="22"/>
  <c r="E47" i="22"/>
  <c r="E48" i="22"/>
  <c r="E49" i="22"/>
  <c r="D56" i="22"/>
  <c r="E28" i="22"/>
  <c r="E29" i="22"/>
  <c r="E30" i="22"/>
  <c r="E31" i="22"/>
  <c r="E32" i="22"/>
  <c r="D55" i="22"/>
  <c r="F38" i="22"/>
  <c r="F39" i="22"/>
  <c r="G39" i="22"/>
  <c r="F48" i="22"/>
  <c r="G48" i="22"/>
  <c r="H48" i="22"/>
  <c r="I48" i="22"/>
  <c r="F28" i="22"/>
  <c r="F29" i="22"/>
  <c r="G29" i="22"/>
  <c r="H29" i="22"/>
  <c r="I29" i="22"/>
  <c r="F30" i="22"/>
  <c r="G30" i="22"/>
  <c r="H30" i="22"/>
  <c r="I30" i="22"/>
  <c r="F31" i="22"/>
  <c r="G31" i="22"/>
  <c r="H31" i="22"/>
  <c r="I31" i="22"/>
  <c r="F40" i="22"/>
  <c r="F41" i="22"/>
  <c r="F44" i="22"/>
  <c r="G44" i="22"/>
  <c r="H44" i="22"/>
  <c r="I44" i="22"/>
  <c r="F45" i="22"/>
  <c r="G45" i="22"/>
  <c r="H45" i="22"/>
  <c r="I45" i="22"/>
  <c r="F47" i="22"/>
  <c r="G47" i="22"/>
  <c r="H47" i="22"/>
  <c r="I47" i="22"/>
  <c r="G40" i="22"/>
  <c r="H40" i="22"/>
  <c r="I40" i="22"/>
  <c r="G41" i="22"/>
  <c r="H41" i="22"/>
  <c r="I41" i="22"/>
  <c r="G10" i="22"/>
  <c r="G11" i="22"/>
  <c r="G12" i="22"/>
  <c r="G13" i="22"/>
  <c r="C13" i="16"/>
  <c r="C15" i="16"/>
  <c r="C18" i="16"/>
  <c r="C22" i="16"/>
  <c r="C23" i="16"/>
  <c r="C59" i="16"/>
  <c r="D44" i="16"/>
  <c r="E44" i="16"/>
  <c r="E45" i="16"/>
  <c r="D46" i="16"/>
  <c r="F46" i="16"/>
  <c r="E46" i="16"/>
  <c r="D47" i="16"/>
  <c r="E47" i="16"/>
  <c r="F47" i="16"/>
  <c r="G47" i="16"/>
  <c r="H47" i="16"/>
  <c r="I47" i="16"/>
  <c r="C29" i="16"/>
  <c r="E29" i="16"/>
  <c r="C30" i="16"/>
  <c r="G30" i="16"/>
  <c r="E30" i="16"/>
  <c r="C31" i="16"/>
  <c r="G31" i="16"/>
  <c r="E31" i="16"/>
  <c r="E32" i="16"/>
  <c r="E33" i="16"/>
  <c r="D57" i="16"/>
  <c r="E39" i="16"/>
  <c r="E40" i="16"/>
  <c r="D41" i="16"/>
  <c r="H41" i="16"/>
  <c r="E41" i="16"/>
  <c r="E42" i="16"/>
  <c r="E49" i="16"/>
  <c r="D50" i="16"/>
  <c r="E50" i="16"/>
  <c r="F50" i="16"/>
  <c r="G50" i="16"/>
  <c r="H50" i="16"/>
  <c r="I50" i="16"/>
  <c r="F29" i="16"/>
  <c r="F30" i="16"/>
  <c r="F31" i="16"/>
  <c r="F32" i="16"/>
  <c r="G32" i="16"/>
  <c r="F39" i="16"/>
  <c r="F40" i="16"/>
  <c r="F41" i="16"/>
  <c r="F42" i="16"/>
  <c r="F45" i="16"/>
  <c r="F49" i="16"/>
  <c r="G29" i="16"/>
  <c r="G39" i="16"/>
  <c r="H39" i="16"/>
  <c r="G40" i="16"/>
  <c r="G41" i="16"/>
  <c r="G45" i="16"/>
  <c r="G46" i="16"/>
  <c r="G49" i="16"/>
  <c r="H29" i="16"/>
  <c r="H30" i="16"/>
  <c r="H31" i="16"/>
  <c r="H32" i="16"/>
  <c r="H33" i="16"/>
  <c r="G57" i="16"/>
  <c r="H45" i="16"/>
  <c r="H46" i="16"/>
  <c r="H49" i="16"/>
  <c r="I29" i="16"/>
  <c r="I30" i="16"/>
  <c r="I31" i="16"/>
  <c r="I32" i="16"/>
  <c r="I33" i="16"/>
  <c r="H57" i="16"/>
  <c r="I41" i="16"/>
  <c r="I45" i="16"/>
  <c r="I46" i="16"/>
  <c r="G11" i="16"/>
  <c r="G12" i="16"/>
  <c r="G13" i="16"/>
  <c r="G14" i="16"/>
  <c r="C11" i="18"/>
  <c r="C13" i="18"/>
  <c r="C18" i="18"/>
  <c r="C21" i="18"/>
  <c r="C24" i="18"/>
  <c r="C51" i="18"/>
  <c r="E51" i="18"/>
  <c r="F51" i="18"/>
  <c r="G51" i="18"/>
  <c r="H51" i="18"/>
  <c r="I51" i="18"/>
  <c r="C52" i="18"/>
  <c r="E52" i="18"/>
  <c r="D53" i="18"/>
  <c r="E53" i="18"/>
  <c r="F53" i="18"/>
  <c r="G53" i="18"/>
  <c r="H53" i="18"/>
  <c r="I53" i="18"/>
  <c r="D54" i="18"/>
  <c r="E54" i="18"/>
  <c r="D31" i="18"/>
  <c r="E31" i="18"/>
  <c r="D32" i="18"/>
  <c r="E32" i="18"/>
  <c r="D33" i="18"/>
  <c r="F33" i="18"/>
  <c r="G33" i="18"/>
  <c r="H33" i="18"/>
  <c r="I33" i="18"/>
  <c r="E33" i="18"/>
  <c r="D34" i="18"/>
  <c r="D35" i="18"/>
  <c r="E35" i="18"/>
  <c r="D36" i="18"/>
  <c r="F36" i="18"/>
  <c r="G36" i="18"/>
  <c r="H36" i="18"/>
  <c r="I36" i="18"/>
  <c r="E36" i="18"/>
  <c r="E43" i="18"/>
  <c r="E44" i="18"/>
  <c r="E45" i="18"/>
  <c r="E46" i="18"/>
  <c r="E47" i="18"/>
  <c r="E48" i="18"/>
  <c r="E49" i="18"/>
  <c r="E56" i="18"/>
  <c r="F56" i="18"/>
  <c r="E57" i="18"/>
  <c r="F57" i="18"/>
  <c r="G57" i="18"/>
  <c r="H57" i="18"/>
  <c r="I57" i="18"/>
  <c r="F31" i="18"/>
  <c r="F32" i="18"/>
  <c r="F35" i="18"/>
  <c r="F44" i="18"/>
  <c r="F45" i="18"/>
  <c r="F46" i="18"/>
  <c r="F47" i="18"/>
  <c r="G47" i="18"/>
  <c r="F48" i="18"/>
  <c r="F49" i="18"/>
  <c r="F52" i="18"/>
  <c r="F54" i="18"/>
  <c r="G31" i="18"/>
  <c r="G32" i="18"/>
  <c r="G35" i="18"/>
  <c r="G44" i="18"/>
  <c r="H44" i="18"/>
  <c r="G45" i="18"/>
  <c r="H45" i="18"/>
  <c r="I45" i="18"/>
  <c r="G46" i="18"/>
  <c r="G48" i="18"/>
  <c r="G49" i="18"/>
  <c r="G52" i="18"/>
  <c r="G54" i="18"/>
  <c r="H54" i="18"/>
  <c r="I54" i="18"/>
  <c r="G56" i="18"/>
  <c r="H56" i="18"/>
  <c r="I56" i="18"/>
  <c r="H31" i="18"/>
  <c r="H32" i="18"/>
  <c r="H35" i="18"/>
  <c r="H46" i="18"/>
  <c r="I46" i="18"/>
  <c r="H47" i="18"/>
  <c r="I47" i="18"/>
  <c r="H48" i="18"/>
  <c r="H49" i="18"/>
  <c r="H52" i="18"/>
  <c r="I31" i="18"/>
  <c r="I32" i="18"/>
  <c r="I35" i="18"/>
  <c r="I44" i="18"/>
  <c r="I48" i="18"/>
  <c r="I49" i="18"/>
  <c r="I52" i="18"/>
  <c r="G12" i="18"/>
  <c r="G13" i="18"/>
  <c r="G14" i="18"/>
  <c r="C10" i="21"/>
  <c r="C11" i="21"/>
  <c r="G11" i="21"/>
  <c r="C12" i="21"/>
  <c r="G12" i="21"/>
  <c r="C13" i="21"/>
  <c r="C17" i="21"/>
  <c r="C21" i="21"/>
  <c r="D43" i="21"/>
  <c r="E43" i="21"/>
  <c r="E44" i="21"/>
  <c r="E45" i="21"/>
  <c r="D28" i="21"/>
  <c r="C28" i="21"/>
  <c r="G28" i="21"/>
  <c r="E28" i="21"/>
  <c r="D29" i="21"/>
  <c r="C29" i="21"/>
  <c r="E30" i="21"/>
  <c r="E31" i="21"/>
  <c r="E38" i="21"/>
  <c r="E39" i="21"/>
  <c r="F39" i="21"/>
  <c r="E40" i="21"/>
  <c r="E41" i="21"/>
  <c r="E48" i="21"/>
  <c r="F48" i="21"/>
  <c r="G48" i="21"/>
  <c r="H48" i="21"/>
  <c r="I48" i="21"/>
  <c r="F30" i="21"/>
  <c r="F31" i="21"/>
  <c r="F38" i="21"/>
  <c r="G38" i="21"/>
  <c r="F40" i="21"/>
  <c r="F41" i="21"/>
  <c r="G41" i="21"/>
  <c r="H41" i="21"/>
  <c r="I41" i="21"/>
  <c r="F44" i="21"/>
  <c r="F45" i="21"/>
  <c r="G45" i="21"/>
  <c r="H45" i="21"/>
  <c r="G30" i="21"/>
  <c r="G31" i="21"/>
  <c r="H31" i="21"/>
  <c r="G39" i="21"/>
  <c r="G40" i="21"/>
  <c r="H40" i="21"/>
  <c r="I40" i="21"/>
  <c r="G44" i="21"/>
  <c r="H44" i="21"/>
  <c r="I44" i="21"/>
  <c r="H30" i="21"/>
  <c r="I30" i="21"/>
  <c r="H47" i="21"/>
  <c r="I29" i="21"/>
  <c r="I31" i="21"/>
  <c r="I45" i="21"/>
  <c r="I47" i="21"/>
  <c r="C15" i="17"/>
  <c r="C18" i="17"/>
  <c r="C22" i="17"/>
  <c r="C23" i="17"/>
  <c r="C58" i="17"/>
  <c r="D44" i="17"/>
  <c r="E44" i="17"/>
  <c r="C59" i="17"/>
  <c r="C61" i="17"/>
  <c r="E29" i="17"/>
  <c r="E30" i="17"/>
  <c r="E31" i="17"/>
  <c r="E32" i="17"/>
  <c r="E39" i="17"/>
  <c r="E40" i="17"/>
  <c r="E41" i="17"/>
  <c r="E42" i="17"/>
  <c r="E48" i="17"/>
  <c r="F48" i="17"/>
  <c r="G48" i="17"/>
  <c r="H48" i="17"/>
  <c r="E49" i="17"/>
  <c r="F49" i="17"/>
  <c r="G49" i="17"/>
  <c r="H49" i="17"/>
  <c r="F29" i="17"/>
  <c r="F30" i="17"/>
  <c r="F31" i="17"/>
  <c r="F32" i="17"/>
  <c r="G32" i="17"/>
  <c r="H32" i="17"/>
  <c r="I32" i="17"/>
  <c r="F40" i="17"/>
  <c r="F41" i="17"/>
  <c r="F42" i="17"/>
  <c r="G42" i="17"/>
  <c r="H42" i="17"/>
  <c r="I42" i="17"/>
  <c r="F44" i="17"/>
  <c r="G44" i="17"/>
  <c r="H44" i="17"/>
  <c r="I44" i="17"/>
  <c r="F45" i="17"/>
  <c r="G45" i="17"/>
  <c r="H45" i="17"/>
  <c r="F46" i="17"/>
  <c r="G46" i="17"/>
  <c r="H46" i="17"/>
  <c r="I46" i="17"/>
  <c r="G29" i="17"/>
  <c r="G30" i="17"/>
  <c r="H30" i="17"/>
  <c r="I30" i="17"/>
  <c r="G40" i="17"/>
  <c r="G41" i="17"/>
  <c r="H29" i="17"/>
  <c r="H41" i="17"/>
  <c r="I41" i="17"/>
  <c r="I45" i="17"/>
  <c r="I48" i="17"/>
  <c r="I49" i="17"/>
  <c r="G11" i="17"/>
  <c r="G12" i="17"/>
  <c r="G13" i="17"/>
  <c r="G14" i="17"/>
  <c r="G22" i="17"/>
  <c r="H60" i="17"/>
  <c r="H59" i="17"/>
  <c r="C15" i="19"/>
  <c r="C18" i="19"/>
  <c r="C22" i="19"/>
  <c r="C23" i="19"/>
  <c r="C64" i="19"/>
  <c r="E50" i="19"/>
  <c r="E51" i="19"/>
  <c r="D52" i="19"/>
  <c r="E52" i="19"/>
  <c r="C29" i="19"/>
  <c r="E29" i="19"/>
  <c r="C30" i="19"/>
  <c r="C31" i="19"/>
  <c r="C32" i="19"/>
  <c r="E32" i="19"/>
  <c r="E39" i="19"/>
  <c r="D40" i="19"/>
  <c r="E40" i="19"/>
  <c r="F40" i="19"/>
  <c r="G40" i="19"/>
  <c r="E41" i="19"/>
  <c r="E42" i="19"/>
  <c r="E43" i="19"/>
  <c r="D44" i="19"/>
  <c r="F44" i="19"/>
  <c r="G44" i="19"/>
  <c r="H44" i="19"/>
  <c r="I44" i="19"/>
  <c r="E44" i="19"/>
  <c r="D45" i="19"/>
  <c r="E46" i="19"/>
  <c r="D48" i="19"/>
  <c r="E48" i="19"/>
  <c r="F48" i="19"/>
  <c r="G48" i="19"/>
  <c r="H48" i="19"/>
  <c r="I48" i="19"/>
  <c r="D49" i="19"/>
  <c r="E49" i="19"/>
  <c r="D54" i="19"/>
  <c r="E54" i="19"/>
  <c r="F54" i="19"/>
  <c r="G54" i="19"/>
  <c r="H54" i="19"/>
  <c r="I54" i="19"/>
  <c r="D55" i="19"/>
  <c r="E55" i="19"/>
  <c r="F55" i="19"/>
  <c r="G55" i="19"/>
  <c r="H55" i="19"/>
  <c r="I55" i="19"/>
  <c r="F41" i="19"/>
  <c r="G41" i="19"/>
  <c r="H41" i="19"/>
  <c r="I41" i="19"/>
  <c r="F42" i="19"/>
  <c r="G42" i="19"/>
  <c r="H42" i="19"/>
  <c r="I42" i="19"/>
  <c r="F43" i="19"/>
  <c r="F46" i="19"/>
  <c r="F49" i="19"/>
  <c r="F51" i="19"/>
  <c r="G51" i="19"/>
  <c r="F52" i="19"/>
  <c r="G52" i="19"/>
  <c r="H52" i="19"/>
  <c r="I52" i="19"/>
  <c r="G29" i="19"/>
  <c r="G30" i="19"/>
  <c r="G31" i="19"/>
  <c r="G43" i="19"/>
  <c r="H43" i="19"/>
  <c r="I43" i="19"/>
  <c r="G46" i="19"/>
  <c r="G49" i="19"/>
  <c r="H29" i="19"/>
  <c r="H30" i="19"/>
  <c r="H40" i="19"/>
  <c r="H46" i="19"/>
  <c r="H49" i="19"/>
  <c r="H51" i="19"/>
  <c r="I51" i="19"/>
  <c r="I30" i="19"/>
  <c r="I40" i="19"/>
  <c r="I46" i="19"/>
  <c r="I49" i="19"/>
  <c r="G10" i="19"/>
  <c r="G11" i="19"/>
  <c r="G12" i="19"/>
  <c r="G13" i="19"/>
  <c r="G14" i="19"/>
  <c r="C14" i="20"/>
  <c r="C17" i="20"/>
  <c r="C21" i="20"/>
  <c r="C22" i="20"/>
  <c r="C58" i="20"/>
  <c r="D44" i="20"/>
  <c r="F44" i="20"/>
  <c r="G44" i="20"/>
  <c r="H44" i="20"/>
  <c r="I44" i="20"/>
  <c r="E44" i="20"/>
  <c r="E45" i="20"/>
  <c r="D46" i="20"/>
  <c r="E46" i="20"/>
  <c r="C59" i="20"/>
  <c r="H59" i="20"/>
  <c r="F45" i="20"/>
  <c r="G45" i="20"/>
  <c r="H45" i="20"/>
  <c r="I45" i="20"/>
  <c r="E28" i="20"/>
  <c r="C29" i="20"/>
  <c r="F29" i="20"/>
  <c r="G29" i="20"/>
  <c r="E29" i="20"/>
  <c r="C30" i="20"/>
  <c r="D30" i="20"/>
  <c r="E30" i="20"/>
  <c r="F30" i="20"/>
  <c r="E31" i="20"/>
  <c r="E38" i="20"/>
  <c r="E39" i="20"/>
  <c r="E40" i="20"/>
  <c r="E41" i="20"/>
  <c r="E43" i="20"/>
  <c r="F43" i="20"/>
  <c r="G43" i="20"/>
  <c r="H43" i="20"/>
  <c r="I43" i="20"/>
  <c r="E48" i="20"/>
  <c r="E49" i="20"/>
  <c r="F28" i="20"/>
  <c r="F31" i="20"/>
  <c r="F39" i="20"/>
  <c r="F40" i="20"/>
  <c r="G40" i="20"/>
  <c r="H40" i="20"/>
  <c r="I40" i="20"/>
  <c r="F41" i="20"/>
  <c r="F46" i="20"/>
  <c r="G46" i="20"/>
  <c r="F48" i="20"/>
  <c r="G48" i="20"/>
  <c r="H48" i="20"/>
  <c r="F49" i="20"/>
  <c r="G49" i="20"/>
  <c r="H49" i="20"/>
  <c r="I49" i="20"/>
  <c r="G28" i="20"/>
  <c r="G31" i="20"/>
  <c r="G39" i="20"/>
  <c r="G41" i="20"/>
  <c r="H41" i="20"/>
  <c r="I41" i="20"/>
  <c r="H28" i="20"/>
  <c r="H29" i="20"/>
  <c r="I29" i="20"/>
  <c r="H31" i="20"/>
  <c r="H46" i="20"/>
  <c r="I28" i="20"/>
  <c r="I31" i="20"/>
  <c r="I46" i="20"/>
  <c r="I48" i="20"/>
  <c r="G10" i="20"/>
  <c r="G11" i="20"/>
  <c r="G12" i="20"/>
  <c r="G13" i="20"/>
  <c r="G21" i="20"/>
  <c r="H60" i="20"/>
  <c r="D31" i="15"/>
  <c r="D29" i="15"/>
  <c r="F29" i="15"/>
  <c r="G29" i="15"/>
  <c r="E29" i="15"/>
  <c r="D28" i="15"/>
  <c r="F28" i="15"/>
  <c r="G28" i="15"/>
  <c r="E28" i="15"/>
  <c r="E30" i="15"/>
  <c r="E31" i="15"/>
  <c r="E32" i="15"/>
  <c r="D56" i="15"/>
  <c r="D43" i="15"/>
  <c r="D44" i="15"/>
  <c r="D46" i="15"/>
  <c r="C10" i="15"/>
  <c r="G10" i="15"/>
  <c r="C11" i="15"/>
  <c r="G11" i="15"/>
  <c r="C12" i="15"/>
  <c r="G12" i="15"/>
  <c r="E40" i="15"/>
  <c r="F40" i="15"/>
  <c r="G40" i="15"/>
  <c r="H40" i="15"/>
  <c r="I40" i="15"/>
  <c r="J40" i="15"/>
  <c r="K40" i="15"/>
  <c r="L40" i="15"/>
  <c r="M40" i="15"/>
  <c r="N40" i="15"/>
  <c r="O40" i="15"/>
  <c r="E44" i="15"/>
  <c r="F44" i="15"/>
  <c r="G44" i="15"/>
  <c r="H44" i="15"/>
  <c r="I44" i="15"/>
  <c r="J44" i="15"/>
  <c r="K44" i="15"/>
  <c r="L44" i="15"/>
  <c r="M44" i="15"/>
  <c r="N44" i="15"/>
  <c r="O44" i="15"/>
  <c r="P44" i="15"/>
  <c r="Q44" i="15"/>
  <c r="R44" i="15"/>
  <c r="S44" i="15"/>
  <c r="F46" i="15"/>
  <c r="G46" i="15"/>
  <c r="H46" i="15"/>
  <c r="I46" i="15"/>
  <c r="J46" i="15"/>
  <c r="K46" i="15"/>
  <c r="L46" i="15"/>
  <c r="M46" i="15"/>
  <c r="N46" i="15"/>
  <c r="O46" i="15"/>
  <c r="P46" i="15"/>
  <c r="Q46" i="15"/>
  <c r="R46" i="15"/>
  <c r="S46" i="15"/>
  <c r="O31" i="15"/>
  <c r="P31" i="15"/>
  <c r="Q31" i="15"/>
  <c r="R31" i="15"/>
  <c r="S31" i="15"/>
  <c r="J31" i="15"/>
  <c r="K31" i="15"/>
  <c r="L31" i="15"/>
  <c r="M31" i="15"/>
  <c r="N31" i="15"/>
  <c r="E49" i="15"/>
  <c r="F49" i="15"/>
  <c r="G49" i="15"/>
  <c r="H49" i="15"/>
  <c r="I49" i="15"/>
  <c r="G48" i="15"/>
  <c r="E48" i="15"/>
  <c r="E46" i="15"/>
  <c r="F41" i="15"/>
  <c r="G41" i="15"/>
  <c r="H41" i="15"/>
  <c r="I41" i="15"/>
  <c r="E41" i="15"/>
  <c r="E39" i="15"/>
  <c r="F39" i="15"/>
  <c r="G39" i="15"/>
  <c r="E38" i="15"/>
  <c r="F38" i="15"/>
  <c r="I31" i="15"/>
  <c r="F31" i="15"/>
  <c r="G31" i="15"/>
  <c r="H31" i="15"/>
  <c r="F30" i="15"/>
  <c r="G30" i="15"/>
  <c r="H30" i="15"/>
  <c r="I30" i="15"/>
  <c r="C20" i="15"/>
  <c r="C21" i="15"/>
  <c r="C16" i="15"/>
  <c r="H29" i="15"/>
  <c r="I29" i="15"/>
  <c r="J29" i="15"/>
  <c r="K29" i="15"/>
  <c r="L29" i="15"/>
  <c r="M29" i="15"/>
  <c r="N29" i="15"/>
  <c r="O29" i="15"/>
  <c r="P29" i="15"/>
  <c r="Q29" i="15"/>
  <c r="R29" i="15"/>
  <c r="S29" i="15"/>
  <c r="F32" i="15"/>
  <c r="E56" i="15"/>
  <c r="K35" i="14"/>
  <c r="J58" i="14"/>
  <c r="G35" i="14"/>
  <c r="F58" i="14"/>
  <c r="E51" i="14"/>
  <c r="F51" i="14"/>
  <c r="G51" i="14"/>
  <c r="H51" i="14"/>
  <c r="I51" i="14"/>
  <c r="J51" i="14"/>
  <c r="K51" i="14"/>
  <c r="G50" i="14"/>
  <c r="E50" i="14"/>
  <c r="F47" i="14"/>
  <c r="G47" i="14"/>
  <c r="H47" i="14"/>
  <c r="I47" i="14"/>
  <c r="J47" i="14"/>
  <c r="K47" i="14"/>
  <c r="E47" i="14"/>
  <c r="D46" i="14"/>
  <c r="E46" i="14"/>
  <c r="F44" i="14"/>
  <c r="G44" i="14"/>
  <c r="H44" i="14"/>
  <c r="I44" i="14"/>
  <c r="J44" i="14"/>
  <c r="K44" i="14"/>
  <c r="E44" i="14"/>
  <c r="E43" i="14"/>
  <c r="F43" i="14"/>
  <c r="G43" i="14"/>
  <c r="H43" i="14"/>
  <c r="I43" i="14"/>
  <c r="J43" i="14"/>
  <c r="K43" i="14"/>
  <c r="E42" i="14"/>
  <c r="F42" i="14"/>
  <c r="G42" i="14"/>
  <c r="E41" i="14"/>
  <c r="F41" i="14"/>
  <c r="G41" i="14"/>
  <c r="J35" i="14"/>
  <c r="I58" i="14"/>
  <c r="I35" i="14"/>
  <c r="H58" i="14"/>
  <c r="H35" i="14"/>
  <c r="G58" i="14"/>
  <c r="F35" i="14"/>
  <c r="E58" i="14"/>
  <c r="E33" i="14"/>
  <c r="E35" i="14"/>
  <c r="D58" i="14"/>
  <c r="D33" i="14"/>
  <c r="D32" i="14"/>
  <c r="D31" i="14"/>
  <c r="D30" i="14"/>
  <c r="D29" i="14"/>
  <c r="C22" i="14"/>
  <c r="C18" i="14"/>
  <c r="C14" i="14"/>
  <c r="G14" i="14"/>
  <c r="G10" i="14"/>
  <c r="C11" i="14"/>
  <c r="G11" i="14"/>
  <c r="G12" i="14"/>
  <c r="C13" i="14"/>
  <c r="G13" i="14"/>
  <c r="G22" i="14"/>
  <c r="J62" i="14"/>
  <c r="E50" i="10"/>
  <c r="F50" i="10"/>
  <c r="G50" i="10"/>
  <c r="H50" i="10"/>
  <c r="I50" i="10"/>
  <c r="E49" i="10"/>
  <c r="F49" i="10"/>
  <c r="G49" i="10"/>
  <c r="H49" i="10"/>
  <c r="I49" i="10"/>
  <c r="D47" i="10"/>
  <c r="E47" i="10"/>
  <c r="F47" i="10"/>
  <c r="G47" i="10"/>
  <c r="H47" i="10"/>
  <c r="I47" i="10"/>
  <c r="F46" i="10"/>
  <c r="G46" i="10"/>
  <c r="H46" i="10"/>
  <c r="I46" i="10"/>
  <c r="E46" i="10"/>
  <c r="D45" i="10"/>
  <c r="E45" i="10"/>
  <c r="F45" i="10"/>
  <c r="G45" i="10"/>
  <c r="H45" i="10"/>
  <c r="I45" i="10"/>
  <c r="F43" i="10"/>
  <c r="G43" i="10"/>
  <c r="H43" i="10"/>
  <c r="I43" i="10"/>
  <c r="E43" i="10"/>
  <c r="F42" i="10"/>
  <c r="G42" i="10"/>
  <c r="H42" i="10"/>
  <c r="I42" i="10"/>
  <c r="E42" i="10"/>
  <c r="D40" i="10"/>
  <c r="E40" i="10"/>
  <c r="E41" i="10"/>
  <c r="E51" i="10"/>
  <c r="D58" i="10"/>
  <c r="F41" i="10"/>
  <c r="G41" i="10"/>
  <c r="H41" i="10"/>
  <c r="I41" i="10"/>
  <c r="D33" i="10"/>
  <c r="E33" i="10"/>
  <c r="F33" i="10"/>
  <c r="G33" i="10"/>
  <c r="H33" i="10"/>
  <c r="I33" i="10"/>
  <c r="D32" i="10"/>
  <c r="F32" i="10"/>
  <c r="G32" i="10"/>
  <c r="E32" i="10"/>
  <c r="H32" i="10"/>
  <c r="I32" i="10"/>
  <c r="D31" i="10"/>
  <c r="E31" i="10"/>
  <c r="F31" i="10"/>
  <c r="G31" i="10"/>
  <c r="H31" i="10"/>
  <c r="I31" i="10"/>
  <c r="D30" i="10"/>
  <c r="F30" i="10"/>
  <c r="G30" i="10"/>
  <c r="H30" i="10"/>
  <c r="I30" i="10"/>
  <c r="E30" i="10"/>
  <c r="D29" i="10"/>
  <c r="E29" i="10"/>
  <c r="E34" i="10"/>
  <c r="D57" i="10"/>
  <c r="F29" i="10"/>
  <c r="C22" i="10"/>
  <c r="C11" i="10"/>
  <c r="C12" i="10"/>
  <c r="C15" i="10"/>
  <c r="C18" i="10"/>
  <c r="C23" i="10"/>
  <c r="C59" i="10"/>
  <c r="C60" i="10"/>
  <c r="C63" i="10"/>
  <c r="C14" i="10"/>
  <c r="G14" i="10"/>
  <c r="G10" i="10"/>
  <c r="G11" i="10"/>
  <c r="G12" i="10"/>
  <c r="G13" i="10"/>
  <c r="G22" i="10"/>
  <c r="H61" i="10"/>
  <c r="F40" i="10"/>
  <c r="H62" i="10"/>
  <c r="D49" i="8"/>
  <c r="E49" i="8"/>
  <c r="F49" i="8"/>
  <c r="G49" i="8"/>
  <c r="H49" i="8"/>
  <c r="I49" i="8"/>
  <c r="G48" i="8"/>
  <c r="E48" i="8"/>
  <c r="E46" i="8"/>
  <c r="F46" i="8"/>
  <c r="G46" i="8"/>
  <c r="H46" i="8"/>
  <c r="I46" i="8"/>
  <c r="D45" i="8"/>
  <c r="F45" i="8"/>
  <c r="G45" i="8"/>
  <c r="H45" i="8"/>
  <c r="I45" i="8"/>
  <c r="E45" i="8"/>
  <c r="F44" i="8"/>
  <c r="G44" i="8"/>
  <c r="H44" i="8"/>
  <c r="I44" i="8"/>
  <c r="E44" i="8"/>
  <c r="E43" i="8"/>
  <c r="F43" i="8"/>
  <c r="G43" i="8"/>
  <c r="H43" i="8"/>
  <c r="I43" i="8"/>
  <c r="F41" i="8"/>
  <c r="G41" i="8"/>
  <c r="H41" i="8"/>
  <c r="I41" i="8"/>
  <c r="E41" i="8"/>
  <c r="D40" i="8"/>
  <c r="E40" i="8"/>
  <c r="F40" i="8"/>
  <c r="G40" i="8"/>
  <c r="H40" i="8"/>
  <c r="I40" i="8"/>
  <c r="E39" i="8"/>
  <c r="F39" i="8"/>
  <c r="G39" i="8"/>
  <c r="E38" i="8"/>
  <c r="F38" i="8"/>
  <c r="G38" i="8"/>
  <c r="G50" i="8"/>
  <c r="F57" i="8"/>
  <c r="D31" i="8"/>
  <c r="C31" i="8"/>
  <c r="D30" i="8"/>
  <c r="C30" i="8"/>
  <c r="E30" i="8"/>
  <c r="D29" i="8"/>
  <c r="C29" i="8"/>
  <c r="E29" i="8"/>
  <c r="C21" i="8"/>
  <c r="C22" i="8"/>
  <c r="C18" i="8"/>
  <c r="C14" i="8"/>
  <c r="G14" i="8"/>
  <c r="C13" i="8"/>
  <c r="G13" i="8"/>
  <c r="G12" i="8"/>
  <c r="C11" i="8"/>
  <c r="G11" i="8"/>
  <c r="G10" i="8"/>
  <c r="E50" i="8"/>
  <c r="D57" i="8"/>
  <c r="H38" i="8"/>
  <c r="I38" i="8"/>
  <c r="I50" i="8"/>
  <c r="H57" i="8"/>
  <c r="D50" i="3"/>
  <c r="E50" i="3"/>
  <c r="F50" i="3"/>
  <c r="G50" i="3"/>
  <c r="H50" i="3"/>
  <c r="I50" i="3"/>
  <c r="J50" i="3"/>
  <c r="K50" i="3"/>
  <c r="L50" i="3"/>
  <c r="M50" i="3"/>
  <c r="N50" i="3"/>
  <c r="O50" i="3"/>
  <c r="P50" i="3"/>
  <c r="Q50" i="3"/>
  <c r="R50" i="3"/>
  <c r="S50" i="3"/>
  <c r="N49" i="3"/>
  <c r="O49" i="3"/>
  <c r="P49" i="3"/>
  <c r="Q49" i="3"/>
  <c r="R49" i="3"/>
  <c r="S49" i="3"/>
  <c r="L49" i="3"/>
  <c r="F49" i="3"/>
  <c r="G49" i="3"/>
  <c r="H49" i="3"/>
  <c r="I49" i="3"/>
  <c r="J49" i="3"/>
  <c r="K49" i="3"/>
  <c r="D47" i="3"/>
  <c r="F47" i="3"/>
  <c r="G47" i="3"/>
  <c r="H47" i="3"/>
  <c r="I47" i="3"/>
  <c r="J47" i="3"/>
  <c r="K47" i="3"/>
  <c r="L47" i="3"/>
  <c r="M47" i="3"/>
  <c r="N47" i="3"/>
  <c r="O47" i="3"/>
  <c r="P47" i="3"/>
  <c r="Q47" i="3"/>
  <c r="R47" i="3"/>
  <c r="S47" i="3"/>
  <c r="D46" i="3"/>
  <c r="E46" i="3"/>
  <c r="F46" i="3"/>
  <c r="G46" i="3"/>
  <c r="H46" i="3"/>
  <c r="I46" i="3"/>
  <c r="J46" i="3"/>
  <c r="K46" i="3"/>
  <c r="L46" i="3"/>
  <c r="M46" i="3"/>
  <c r="N46" i="3"/>
  <c r="O46" i="3"/>
  <c r="P46" i="3"/>
  <c r="Q46" i="3"/>
  <c r="R46" i="3"/>
  <c r="S46" i="3"/>
  <c r="E45" i="3"/>
  <c r="F45" i="3"/>
  <c r="G45" i="3"/>
  <c r="H45" i="3"/>
  <c r="I45" i="3"/>
  <c r="J45" i="3"/>
  <c r="K45" i="3"/>
  <c r="L45" i="3"/>
  <c r="M45" i="3"/>
  <c r="N45" i="3"/>
  <c r="O45" i="3"/>
  <c r="P45" i="3"/>
  <c r="Q45" i="3"/>
  <c r="R45" i="3"/>
  <c r="S45" i="3"/>
  <c r="E44" i="3"/>
  <c r="F44" i="3"/>
  <c r="G44" i="3"/>
  <c r="H44" i="3"/>
  <c r="I44" i="3"/>
  <c r="J44" i="3"/>
  <c r="K44" i="3"/>
  <c r="L44" i="3"/>
  <c r="M44" i="3"/>
  <c r="N44" i="3"/>
  <c r="O44" i="3"/>
  <c r="P44" i="3"/>
  <c r="Q44" i="3"/>
  <c r="R44" i="3"/>
  <c r="S44" i="3"/>
  <c r="E43" i="3"/>
  <c r="F43" i="3"/>
  <c r="G43" i="3"/>
  <c r="H43" i="3"/>
  <c r="I43" i="3"/>
  <c r="J43" i="3"/>
  <c r="K43" i="3"/>
  <c r="L43" i="3"/>
  <c r="M43" i="3"/>
  <c r="N43" i="3"/>
  <c r="O43" i="3"/>
  <c r="P43" i="3"/>
  <c r="Q43" i="3"/>
  <c r="R43" i="3"/>
  <c r="S43" i="3"/>
  <c r="E42" i="3"/>
  <c r="F42" i="3"/>
  <c r="G42" i="3"/>
  <c r="H42" i="3"/>
  <c r="I42" i="3"/>
  <c r="H41" i="3"/>
  <c r="I41" i="3"/>
  <c r="J41" i="3"/>
  <c r="K41" i="3"/>
  <c r="L41" i="3"/>
  <c r="M41" i="3"/>
  <c r="N41" i="3"/>
  <c r="O41" i="3"/>
  <c r="P41" i="3"/>
  <c r="Q41" i="3"/>
  <c r="R41" i="3"/>
  <c r="S41" i="3"/>
  <c r="D41" i="3"/>
  <c r="F41" i="3"/>
  <c r="C60" i="3"/>
  <c r="R62" i="3"/>
  <c r="D39" i="3"/>
  <c r="E39" i="3"/>
  <c r="F39" i="3"/>
  <c r="E38" i="3"/>
  <c r="F38" i="3"/>
  <c r="G38" i="3"/>
  <c r="H38" i="3"/>
  <c r="I38" i="3"/>
  <c r="J38" i="3"/>
  <c r="K38" i="3"/>
  <c r="L38" i="3"/>
  <c r="M38" i="3"/>
  <c r="N38" i="3"/>
  <c r="O38" i="3"/>
  <c r="P38" i="3"/>
  <c r="Q38" i="3"/>
  <c r="R38" i="3"/>
  <c r="S38" i="3"/>
  <c r="E37" i="3"/>
  <c r="F37" i="3"/>
  <c r="G37" i="3"/>
  <c r="H37" i="3"/>
  <c r="I37" i="3"/>
  <c r="J37" i="3"/>
  <c r="K37" i="3"/>
  <c r="L37" i="3"/>
  <c r="M37" i="3"/>
  <c r="N37" i="3"/>
  <c r="O37" i="3"/>
  <c r="P37" i="3"/>
  <c r="Q37" i="3"/>
  <c r="R37" i="3"/>
  <c r="S37" i="3"/>
  <c r="D36" i="3"/>
  <c r="E36" i="3"/>
  <c r="E51" i="3"/>
  <c r="E30" i="3"/>
  <c r="D57" i="3"/>
  <c r="D29" i="3"/>
  <c r="C29" i="3"/>
  <c r="F29" i="3"/>
  <c r="G29" i="3"/>
  <c r="H29" i="3"/>
  <c r="I29" i="3"/>
  <c r="J29" i="3"/>
  <c r="K29" i="3"/>
  <c r="L29" i="3"/>
  <c r="M29" i="3"/>
  <c r="N29" i="3"/>
  <c r="O29" i="3"/>
  <c r="P29" i="3"/>
  <c r="Q29" i="3"/>
  <c r="R29" i="3"/>
  <c r="S29" i="3"/>
  <c r="D28" i="3"/>
  <c r="C28" i="3"/>
  <c r="F28" i="3"/>
  <c r="C21" i="3"/>
  <c r="C16" i="3"/>
  <c r="C17" i="3"/>
  <c r="C10" i="3"/>
  <c r="C11" i="3"/>
  <c r="C12" i="3"/>
  <c r="C13" i="3"/>
  <c r="C14" i="3"/>
  <c r="C22" i="3"/>
  <c r="C59" i="3"/>
  <c r="C63" i="3"/>
  <c r="G13" i="3"/>
  <c r="G12" i="3"/>
  <c r="G11" i="3"/>
  <c r="G10" i="3"/>
  <c r="G21" i="3"/>
  <c r="R61" i="3"/>
  <c r="F36" i="3"/>
  <c r="G36" i="3"/>
  <c r="F32" i="22"/>
  <c r="E55" i="22"/>
  <c r="G28" i="22"/>
  <c r="G39" i="3"/>
  <c r="H39" i="3"/>
  <c r="I39" i="3"/>
  <c r="J39" i="3"/>
  <c r="K39" i="3"/>
  <c r="L39" i="3"/>
  <c r="M39" i="3"/>
  <c r="N39" i="3"/>
  <c r="O39" i="3"/>
  <c r="P39" i="3"/>
  <c r="Q39" i="3"/>
  <c r="R39" i="3"/>
  <c r="S39" i="3"/>
  <c r="F51" i="3"/>
  <c r="E58" i="3"/>
  <c r="G51" i="3"/>
  <c r="F58" i="3"/>
  <c r="H36" i="3"/>
  <c r="C60" i="16"/>
  <c r="C62" i="16"/>
  <c r="D63" i="10"/>
  <c r="D60" i="3"/>
  <c r="D58" i="3"/>
  <c r="D63" i="3"/>
  <c r="E31" i="8"/>
  <c r="E32" i="8"/>
  <c r="D56" i="8"/>
  <c r="D62" i="8"/>
  <c r="F30" i="3"/>
  <c r="E57" i="3"/>
  <c r="E63" i="3"/>
  <c r="G30" i="20"/>
  <c r="H30" i="20"/>
  <c r="F32" i="20"/>
  <c r="E56" i="20"/>
  <c r="F50" i="8"/>
  <c r="E57" i="8"/>
  <c r="C59" i="15"/>
  <c r="R61" i="15"/>
  <c r="E43" i="15"/>
  <c r="C65" i="19"/>
  <c r="H65" i="19"/>
  <c r="F50" i="19"/>
  <c r="G50" i="19"/>
  <c r="H50" i="19"/>
  <c r="I50" i="19"/>
  <c r="F33" i="17"/>
  <c r="E56" i="17"/>
  <c r="F39" i="17"/>
  <c r="E50" i="17"/>
  <c r="D57" i="17"/>
  <c r="C14" i="21"/>
  <c r="C22" i="21"/>
  <c r="C57" i="21"/>
  <c r="G10" i="21"/>
  <c r="G21" i="21"/>
  <c r="H59" i="21"/>
  <c r="G22" i="8"/>
  <c r="H60" i="8"/>
  <c r="I29" i="17"/>
  <c r="F43" i="21"/>
  <c r="G43" i="21"/>
  <c r="H43" i="21"/>
  <c r="I43" i="21"/>
  <c r="C58" i="21"/>
  <c r="H58" i="21"/>
  <c r="G22" i="16"/>
  <c r="H61" i="16"/>
  <c r="G21" i="22"/>
  <c r="H59" i="22"/>
  <c r="D60" i="22"/>
  <c r="C58" i="22"/>
  <c r="G32" i="15"/>
  <c r="F56" i="15"/>
  <c r="H28" i="15"/>
  <c r="G32" i="20"/>
  <c r="F56" i="20"/>
  <c r="E31" i="19"/>
  <c r="E30" i="19"/>
  <c r="E33" i="19"/>
  <c r="D62" i="19"/>
  <c r="H31" i="19"/>
  <c r="E34" i="18"/>
  <c r="F34" i="18"/>
  <c r="G34" i="18"/>
  <c r="H34" i="18"/>
  <c r="I34" i="18"/>
  <c r="F33" i="16"/>
  <c r="E57" i="16"/>
  <c r="E51" i="16"/>
  <c r="D58" i="16"/>
  <c r="D62" i="16"/>
  <c r="C61" i="14"/>
  <c r="F46" i="14"/>
  <c r="G46" i="14"/>
  <c r="H46" i="14"/>
  <c r="I46" i="14"/>
  <c r="J46" i="14"/>
  <c r="K46" i="14"/>
  <c r="P40" i="15"/>
  <c r="E52" i="14"/>
  <c r="D59" i="14"/>
  <c r="H50" i="8"/>
  <c r="G57" i="8"/>
  <c r="G38" i="15"/>
  <c r="F31" i="19"/>
  <c r="F30" i="19"/>
  <c r="E37" i="18"/>
  <c r="D64" i="18"/>
  <c r="G42" i="16"/>
  <c r="H42" i="16"/>
  <c r="I42" i="16"/>
  <c r="F44" i="16"/>
  <c r="F51" i="16"/>
  <c r="E58" i="16"/>
  <c r="F39" i="19"/>
  <c r="C61" i="20"/>
  <c r="G29" i="8"/>
  <c r="F29" i="8"/>
  <c r="F30" i="8"/>
  <c r="F31" i="8"/>
  <c r="F32" i="8"/>
  <c r="E56" i="8"/>
  <c r="E62" i="8"/>
  <c r="G21" i="15"/>
  <c r="R60" i="15"/>
  <c r="F34" i="10"/>
  <c r="E57" i="10"/>
  <c r="G29" i="10"/>
  <c r="G28" i="3"/>
  <c r="I29" i="8"/>
  <c r="G30" i="8"/>
  <c r="H30" i="8"/>
  <c r="I30" i="8"/>
  <c r="G31" i="8"/>
  <c r="H31" i="8"/>
  <c r="I31" i="8"/>
  <c r="I32" i="8"/>
  <c r="H56" i="8"/>
  <c r="H62" i="8"/>
  <c r="H41" i="14"/>
  <c r="C13" i="15"/>
  <c r="C22" i="15"/>
  <c r="C58" i="15"/>
  <c r="C62" i="15"/>
  <c r="F29" i="19"/>
  <c r="I29" i="19"/>
  <c r="I37" i="18"/>
  <c r="H64" i="18"/>
  <c r="H37" i="18"/>
  <c r="G64" i="18"/>
  <c r="E58" i="18"/>
  <c r="D65" i="18"/>
  <c r="F43" i="18"/>
  <c r="E45" i="19"/>
  <c r="E56" i="19"/>
  <c r="D63" i="19"/>
  <c r="F45" i="19"/>
  <c r="G45" i="19"/>
  <c r="H45" i="19"/>
  <c r="I45" i="19"/>
  <c r="H38" i="21"/>
  <c r="C15" i="8"/>
  <c r="C23" i="8"/>
  <c r="C59" i="8"/>
  <c r="G40" i="10"/>
  <c r="F51" i="10"/>
  <c r="E58" i="10"/>
  <c r="C58" i="8"/>
  <c r="C15" i="14"/>
  <c r="C23" i="14"/>
  <c r="C60" i="14"/>
  <c r="H29" i="8"/>
  <c r="I31" i="19"/>
  <c r="G31" i="17"/>
  <c r="H31" i="17"/>
  <c r="I31" i="17"/>
  <c r="G29" i="21"/>
  <c r="G32" i="21"/>
  <c r="F55" i="21"/>
  <c r="E29" i="21"/>
  <c r="H29" i="21"/>
  <c r="F29" i="21"/>
  <c r="E32" i="20"/>
  <c r="D56" i="20"/>
  <c r="E50" i="20"/>
  <c r="D57" i="20"/>
  <c r="D61" i="20"/>
  <c r="E33" i="17"/>
  <c r="D56" i="17"/>
  <c r="D61" i="17"/>
  <c r="E32" i="21"/>
  <c r="D55" i="21"/>
  <c r="E49" i="21"/>
  <c r="D56" i="21"/>
  <c r="D60" i="21"/>
  <c r="G37" i="18"/>
  <c r="F64" i="18"/>
  <c r="F38" i="20"/>
  <c r="G22" i="19"/>
  <c r="H66" i="19"/>
  <c r="H28" i="21"/>
  <c r="H32" i="21"/>
  <c r="G55" i="21"/>
  <c r="I28" i="21"/>
  <c r="I32" i="21"/>
  <c r="H55" i="21"/>
  <c r="G38" i="22"/>
  <c r="F28" i="21"/>
  <c r="F32" i="21"/>
  <c r="E55" i="21"/>
  <c r="C15" i="18"/>
  <c r="C25" i="18"/>
  <c r="C66" i="18"/>
  <c r="C67" i="18"/>
  <c r="C69" i="18"/>
  <c r="G11" i="18"/>
  <c r="G24" i="18"/>
  <c r="H68" i="18"/>
  <c r="G44" i="16"/>
  <c r="H44" i="16"/>
  <c r="H51" i="16"/>
  <c r="G58" i="16"/>
  <c r="G62" i="16"/>
  <c r="I39" i="16"/>
  <c r="I44" i="16"/>
  <c r="I51" i="16"/>
  <c r="H58" i="16"/>
  <c r="H60" i="16"/>
  <c r="H62" i="16"/>
  <c r="G33" i="16"/>
  <c r="F57" i="16"/>
  <c r="F32" i="19"/>
  <c r="G32" i="19"/>
  <c r="G33" i="19"/>
  <c r="F62" i="19"/>
  <c r="H32" i="19"/>
  <c r="H33" i="19"/>
  <c r="G62" i="19"/>
  <c r="I32" i="19"/>
  <c r="H67" i="18"/>
  <c r="F43" i="22"/>
  <c r="G43" i="22"/>
  <c r="H43" i="22"/>
  <c r="I43" i="22"/>
  <c r="G32" i="22"/>
  <c r="F55" i="22"/>
  <c r="H28" i="22"/>
  <c r="D67" i="19"/>
  <c r="G49" i="21"/>
  <c r="F56" i="21"/>
  <c r="F60" i="21"/>
  <c r="F58" i="18"/>
  <c r="E65" i="18"/>
  <c r="G43" i="18"/>
  <c r="G51" i="10"/>
  <c r="F58" i="10"/>
  <c r="H40" i="10"/>
  <c r="G32" i="8"/>
  <c r="F56" i="8"/>
  <c r="F62" i="8"/>
  <c r="H32" i="8"/>
  <c r="G56" i="8"/>
  <c r="G62" i="8"/>
  <c r="C69" i="8"/>
  <c r="I36" i="3"/>
  <c r="H51" i="3"/>
  <c r="G58" i="3"/>
  <c r="I38" i="21"/>
  <c r="I49" i="21"/>
  <c r="H56" i="21"/>
  <c r="H60" i="21"/>
  <c r="E63" i="10"/>
  <c r="H49" i="21"/>
  <c r="G56" i="21"/>
  <c r="G60" i="21"/>
  <c r="I33" i="19"/>
  <c r="H62" i="19"/>
  <c r="H58" i="22"/>
  <c r="C60" i="22"/>
  <c r="C67" i="19"/>
  <c r="G39" i="17"/>
  <c r="F50" i="17"/>
  <c r="E57" i="17"/>
  <c r="E61" i="17"/>
  <c r="H38" i="15"/>
  <c r="F43" i="15"/>
  <c r="E50" i="15"/>
  <c r="D57" i="15"/>
  <c r="D62" i="15"/>
  <c r="H29" i="10"/>
  <c r="G34" i="10"/>
  <c r="F57" i="10"/>
  <c r="F63" i="10"/>
  <c r="F52" i="14"/>
  <c r="E59" i="14"/>
  <c r="E64" i="14"/>
  <c r="G52" i="14"/>
  <c r="F59" i="14"/>
  <c r="F64" i="14"/>
  <c r="H32" i="15"/>
  <c r="G56" i="15"/>
  <c r="I28" i="15"/>
  <c r="I33" i="17"/>
  <c r="H56" i="17"/>
  <c r="G51" i="16"/>
  <c r="F58" i="16"/>
  <c r="F62" i="16"/>
  <c r="G49" i="22"/>
  <c r="F56" i="22"/>
  <c r="H38" i="22"/>
  <c r="G38" i="20"/>
  <c r="F50" i="20"/>
  <c r="E57" i="20"/>
  <c r="F33" i="19"/>
  <c r="E62" i="19"/>
  <c r="F56" i="19"/>
  <c r="E63" i="19"/>
  <c r="E67" i="19"/>
  <c r="H28" i="3"/>
  <c r="G30" i="3"/>
  <c r="F57" i="3"/>
  <c r="F63" i="3"/>
  <c r="J63" i="14"/>
  <c r="D63" i="14"/>
  <c r="D64" i="14"/>
  <c r="D69" i="18"/>
  <c r="G33" i="17"/>
  <c r="F56" i="17"/>
  <c r="F49" i="22"/>
  <c r="E56" i="22"/>
  <c r="E60" i="22"/>
  <c r="C64" i="14"/>
  <c r="F37" i="18"/>
  <c r="E64" i="18"/>
  <c r="E69" i="18"/>
  <c r="G39" i="19"/>
  <c r="Q40" i="15"/>
  <c r="F49" i="21"/>
  <c r="E56" i="21"/>
  <c r="E60" i="21"/>
  <c r="E61" i="20"/>
  <c r="C60" i="21"/>
  <c r="E62" i="16"/>
  <c r="H61" i="8"/>
  <c r="C62" i="8"/>
  <c r="I41" i="14"/>
  <c r="H52" i="14"/>
  <c r="G59" i="14"/>
  <c r="G64" i="14"/>
  <c r="H33" i="17"/>
  <c r="G56" i="17"/>
  <c r="I30" i="20"/>
  <c r="I32" i="20"/>
  <c r="H56" i="20"/>
  <c r="H32" i="20"/>
  <c r="G56" i="20"/>
  <c r="F60" i="22"/>
  <c r="I28" i="22"/>
  <c r="I32" i="22"/>
  <c r="H55" i="22"/>
  <c r="H32" i="22"/>
  <c r="G55" i="22"/>
  <c r="C68" i="16"/>
  <c r="C70" i="16"/>
  <c r="C69" i="16"/>
  <c r="C67" i="21"/>
  <c r="H34" i="10"/>
  <c r="G57" i="10"/>
  <c r="H51" i="10"/>
  <c r="G58" i="10"/>
  <c r="G63" i="10"/>
  <c r="I29" i="10"/>
  <c r="I34" i="10"/>
  <c r="H57" i="10"/>
  <c r="I40" i="10"/>
  <c r="I51" i="10"/>
  <c r="H58" i="10"/>
  <c r="H63" i="10"/>
  <c r="C70" i="10"/>
  <c r="C68" i="21"/>
  <c r="C66" i="21"/>
  <c r="G58" i="18"/>
  <c r="F65" i="18"/>
  <c r="F69" i="18"/>
  <c r="H43" i="18"/>
  <c r="G56" i="19"/>
  <c r="F63" i="19"/>
  <c r="F67" i="19"/>
  <c r="H39" i="19"/>
  <c r="H49" i="22"/>
  <c r="G56" i="22"/>
  <c r="I38" i="22"/>
  <c r="I49" i="22"/>
  <c r="H56" i="22"/>
  <c r="H60" i="22"/>
  <c r="H39" i="17"/>
  <c r="G50" i="17"/>
  <c r="F57" i="17"/>
  <c r="F61" i="17"/>
  <c r="J36" i="3"/>
  <c r="I51" i="3"/>
  <c r="H58" i="3"/>
  <c r="I52" i="14"/>
  <c r="H59" i="14"/>
  <c r="H64" i="14"/>
  <c r="J41" i="14"/>
  <c r="C70" i="8"/>
  <c r="C68" i="8"/>
  <c r="R40" i="15"/>
  <c r="G43" i="15"/>
  <c r="F50" i="15"/>
  <c r="E57" i="15"/>
  <c r="E62" i="15"/>
  <c r="I28" i="3"/>
  <c r="H30" i="3"/>
  <c r="G57" i="3"/>
  <c r="G63" i="3"/>
  <c r="I32" i="15"/>
  <c r="H56" i="15"/>
  <c r="J28" i="15"/>
  <c r="C71" i="10"/>
  <c r="G50" i="20"/>
  <c r="F57" i="20"/>
  <c r="F61" i="20"/>
  <c r="H38" i="20"/>
  <c r="I38" i="15"/>
  <c r="G60" i="22"/>
  <c r="C67" i="22"/>
  <c r="H50" i="17"/>
  <c r="G57" i="17"/>
  <c r="G61" i="17"/>
  <c r="I39" i="17"/>
  <c r="I50" i="17"/>
  <c r="H57" i="17"/>
  <c r="H61" i="17"/>
  <c r="C69" i="17"/>
  <c r="C66" i="22"/>
  <c r="K41" i="14"/>
  <c r="K52" i="14"/>
  <c r="J59" i="14"/>
  <c r="J64" i="14"/>
  <c r="J52" i="14"/>
  <c r="I59" i="14"/>
  <c r="I64" i="14"/>
  <c r="C71" i="14"/>
  <c r="J32" i="15"/>
  <c r="I56" i="15"/>
  <c r="K28" i="15"/>
  <c r="H43" i="15"/>
  <c r="G50" i="15"/>
  <c r="F57" i="15"/>
  <c r="F62" i="15"/>
  <c r="H56" i="19"/>
  <c r="G63" i="19"/>
  <c r="G67" i="19"/>
  <c r="I39" i="19"/>
  <c r="I56" i="19"/>
  <c r="H63" i="19"/>
  <c r="H67" i="19"/>
  <c r="C75" i="19"/>
  <c r="S40" i="15"/>
  <c r="J28" i="3"/>
  <c r="I30" i="3"/>
  <c r="H57" i="3"/>
  <c r="H63" i="3"/>
  <c r="C69" i="10"/>
  <c r="H50" i="20"/>
  <c r="G57" i="20"/>
  <c r="G61" i="20"/>
  <c r="I38" i="20"/>
  <c r="I50" i="20"/>
  <c r="H57" i="20"/>
  <c r="H61" i="20"/>
  <c r="C69" i="20"/>
  <c r="J51" i="3"/>
  <c r="I58" i="3"/>
  <c r="K36" i="3"/>
  <c r="H58" i="18"/>
  <c r="G65" i="18"/>
  <c r="G69" i="18"/>
  <c r="I43" i="18"/>
  <c r="I58" i="18"/>
  <c r="H65" i="18"/>
  <c r="H69" i="18"/>
  <c r="C77" i="18"/>
  <c r="C68" i="17"/>
  <c r="C68" i="22"/>
  <c r="K32" i="15"/>
  <c r="J56" i="15"/>
  <c r="L28" i="15"/>
  <c r="C67" i="20"/>
  <c r="C68" i="20"/>
  <c r="I43" i="15"/>
  <c r="H50" i="15"/>
  <c r="G57" i="15"/>
  <c r="G62" i="15"/>
  <c r="C67" i="17"/>
  <c r="C76" i="18"/>
  <c r="C75" i="18"/>
  <c r="K28" i="3"/>
  <c r="J30" i="3"/>
  <c r="I57" i="3"/>
  <c r="I63" i="3"/>
  <c r="C74" i="19"/>
  <c r="C73" i="19"/>
  <c r="L36" i="3"/>
  <c r="K51" i="3"/>
  <c r="J58" i="3"/>
  <c r="C70" i="14"/>
  <c r="C72" i="14"/>
  <c r="L51" i="3"/>
  <c r="K58" i="3"/>
  <c r="M36" i="3"/>
  <c r="J43" i="15"/>
  <c r="I50" i="15"/>
  <c r="H57" i="15"/>
  <c r="H62" i="15"/>
  <c r="K30" i="3"/>
  <c r="J57" i="3"/>
  <c r="J63" i="3"/>
  <c r="L28" i="3"/>
  <c r="L32" i="15"/>
  <c r="K56" i="15"/>
  <c r="M28" i="15"/>
  <c r="N28" i="15"/>
  <c r="M32" i="15"/>
  <c r="L56" i="15"/>
  <c r="K43" i="15"/>
  <c r="J50" i="15"/>
  <c r="I57" i="15"/>
  <c r="I62" i="15"/>
  <c r="M28" i="3"/>
  <c r="L30" i="3"/>
  <c r="K57" i="3"/>
  <c r="K63" i="3"/>
  <c r="N36" i="3"/>
  <c r="M51" i="3"/>
  <c r="L58" i="3"/>
  <c r="M30" i="3"/>
  <c r="L57" i="3"/>
  <c r="L63" i="3"/>
  <c r="N28" i="3"/>
  <c r="K50" i="15"/>
  <c r="J57" i="15"/>
  <c r="J62" i="15"/>
  <c r="L43" i="15"/>
  <c r="O36" i="3"/>
  <c r="N51" i="3"/>
  <c r="M58" i="3"/>
  <c r="N32" i="15"/>
  <c r="M56" i="15"/>
  <c r="O28" i="15"/>
  <c r="P36" i="3"/>
  <c r="O51" i="3"/>
  <c r="N58" i="3"/>
  <c r="M43" i="15"/>
  <c r="L50" i="15"/>
  <c r="K57" i="15"/>
  <c r="K62" i="15"/>
  <c r="N30" i="3"/>
  <c r="M57" i="3"/>
  <c r="M63" i="3"/>
  <c r="O28" i="3"/>
  <c r="O32" i="15"/>
  <c r="N56" i="15"/>
  <c r="P28" i="15"/>
  <c r="N43" i="15"/>
  <c r="M50" i="15"/>
  <c r="L57" i="15"/>
  <c r="L62" i="15"/>
  <c r="O30" i="3"/>
  <c r="N57" i="3"/>
  <c r="N63" i="3"/>
  <c r="P28" i="3"/>
  <c r="Q28" i="15"/>
  <c r="P32" i="15"/>
  <c r="O56" i="15"/>
  <c r="Q36" i="3"/>
  <c r="P51" i="3"/>
  <c r="O58" i="3"/>
  <c r="Q28" i="3"/>
  <c r="P30" i="3"/>
  <c r="O57" i="3"/>
  <c r="O63" i="3"/>
  <c r="Q51" i="3"/>
  <c r="P58" i="3"/>
  <c r="R36" i="3"/>
  <c r="Q32" i="15"/>
  <c r="P56" i="15"/>
  <c r="R28" i="15"/>
  <c r="O43" i="15"/>
  <c r="N50" i="15"/>
  <c r="M57" i="15"/>
  <c r="M62" i="15"/>
  <c r="S28" i="15"/>
  <c r="S32" i="15"/>
  <c r="R56" i="15"/>
  <c r="R32" i="15"/>
  <c r="Q56" i="15"/>
  <c r="P43" i="15"/>
  <c r="O50" i="15"/>
  <c r="N57" i="15"/>
  <c r="N62" i="15"/>
  <c r="R51" i="3"/>
  <c r="Q58" i="3"/>
  <c r="S36" i="3"/>
  <c r="S51" i="3"/>
  <c r="R58" i="3"/>
  <c r="R28" i="3"/>
  <c r="Q30" i="3"/>
  <c r="P57" i="3"/>
  <c r="P63" i="3"/>
  <c r="S28" i="3"/>
  <c r="S30" i="3"/>
  <c r="R57" i="3"/>
  <c r="R63" i="3"/>
  <c r="R30" i="3"/>
  <c r="Q57" i="3"/>
  <c r="Q63" i="3"/>
  <c r="Q43" i="15"/>
  <c r="P50" i="15"/>
  <c r="O57" i="15"/>
  <c r="O62" i="15"/>
  <c r="R43" i="15"/>
  <c r="Q50" i="15"/>
  <c r="P57" i="15"/>
  <c r="P62" i="15"/>
  <c r="C70" i="3"/>
  <c r="C69" i="3"/>
  <c r="C71" i="3"/>
  <c r="S43" i="15"/>
  <c r="S50" i="15"/>
  <c r="R57" i="15"/>
  <c r="R62" i="15"/>
  <c r="R50" i="15"/>
  <c r="Q57" i="15"/>
  <c r="Q62" i="15"/>
  <c r="C69" i="15"/>
  <c r="C68" i="15"/>
  <c r="C70" i="15"/>
</calcChain>
</file>

<file path=xl/comments1.xml><?xml version="1.0" encoding="utf-8"?>
<comments xmlns="http://schemas.openxmlformats.org/spreadsheetml/2006/main">
  <authors>
    <author>camila angelica contreras contreras</author>
  </authors>
  <commentList>
    <comment ref="C13" authorId="0" shapeId="0">
      <text>
        <r>
          <rPr>
            <b/>
            <sz val="9"/>
            <color indexed="81"/>
            <rFont val="Tahoma"/>
            <family val="2"/>
          </rPr>
          <t>Camila angélica contreras contreras:</t>
        </r>
        <r>
          <rPr>
            <sz val="9"/>
            <color indexed="81"/>
            <rFont val="Tahoma"/>
            <family val="2"/>
          </rPr>
          <t xml:space="preserve">
Es lo más costoso del proyecto
</t>
        </r>
      </text>
    </comment>
    <comment ref="D39" authorId="0" shapeId="0">
      <text>
        <r>
          <rPr>
            <b/>
            <sz val="9"/>
            <color indexed="81"/>
            <rFont val="Tahoma"/>
            <family val="2"/>
          </rPr>
          <t>Camila angélica contreras contreras:</t>
        </r>
        <r>
          <rPr>
            <sz val="9"/>
            <color indexed="81"/>
            <rFont val="Tahoma"/>
            <family val="2"/>
          </rPr>
          <t xml:space="preserve">
No se están considerando luz, agua, entre otros</t>
        </r>
      </text>
    </comment>
    <comment ref="D41" authorId="0" shapeId="0">
      <text>
        <r>
          <rPr>
            <b/>
            <sz val="9"/>
            <color indexed="81"/>
            <rFont val="Tahoma"/>
            <family val="2"/>
          </rPr>
          <t>Camila angélica contreras contreras:</t>
        </r>
        <r>
          <rPr>
            <sz val="9"/>
            <color indexed="81"/>
            <rFont val="Tahoma"/>
            <family val="2"/>
          </rPr>
          <t xml:space="preserve">
Para un técnico era muy bajo, este se incrementó en $200.000</t>
        </r>
      </text>
    </comment>
  </commentList>
</comments>
</file>

<file path=xl/comments2.xml><?xml version="1.0" encoding="utf-8"?>
<comments xmlns="http://schemas.openxmlformats.org/spreadsheetml/2006/main">
  <authors>
    <author>camila angelica contreras contreras</author>
  </authors>
  <commentList>
    <comment ref="C14" authorId="0" shapeId="0">
      <text>
        <r>
          <rPr>
            <b/>
            <sz val="9"/>
            <color indexed="81"/>
            <rFont val="Tahoma"/>
            <family val="2"/>
          </rPr>
          <t>camila angelica contreras contreras:</t>
        </r>
        <r>
          <rPr>
            <sz val="9"/>
            <color indexed="81"/>
            <rFont val="Tahoma"/>
            <family val="2"/>
          </rPr>
          <t xml:space="preserve">
Se considera que la superficie total de los 8 invernaderos de 2500 m2, y usando un coeficiente de relacion superficie utilizada/suelo, se puede determinar la cantidad aproximada en metros cuadrados de muro trombe. Se considera una temperatura de 5 grados promedio en invierno para la zona, lo que significa un coeficiente de 0,28. 
Cada m2 de muro cuesta aproximadamente $140.000
*cabe notar que estas son estimaciones, una forma más directa de aproximar es considerar que el muro trombe ocupará el 40% de la superficie de la muralla del lado norte
</t>
        </r>
      </text>
    </comment>
    <comment ref="E29" authorId="0" shapeId="0">
      <text>
        <r>
          <rPr>
            <b/>
            <sz val="9"/>
            <color indexed="81"/>
            <rFont val="Tahoma"/>
            <family val="2"/>
          </rPr>
          <t>camila angelica contreras contreras:</t>
        </r>
        <r>
          <rPr>
            <sz val="9"/>
            <color indexed="81"/>
            <rFont val="Tahoma"/>
            <family val="2"/>
          </rPr>
          <t xml:space="preserve">
Cada año la producción se va aumentando en un 20% hasta completar la producción estimada total</t>
        </r>
      </text>
    </comment>
  </commentList>
</comments>
</file>

<file path=xl/comments3.xml><?xml version="1.0" encoding="utf-8"?>
<comments xmlns="http://schemas.openxmlformats.org/spreadsheetml/2006/main">
  <authors>
    <author>camila angelica contreras contreras</author>
  </authors>
  <commentList>
    <comment ref="E34" authorId="0" shapeId="0">
      <text>
        <r>
          <rPr>
            <b/>
            <sz val="9"/>
            <color indexed="81"/>
            <rFont val="Tahoma"/>
            <family val="2"/>
          </rPr>
          <t>camila angelica contreras contreras:</t>
        </r>
        <r>
          <rPr>
            <sz val="9"/>
            <color indexed="81"/>
            <rFont val="Tahoma"/>
            <family val="2"/>
          </rPr>
          <t xml:space="preserve">
solo produce durante 9 meses el primer año</t>
        </r>
      </text>
    </comment>
    <comment ref="J46" authorId="0" shapeId="0">
      <text>
        <r>
          <rPr>
            <b/>
            <sz val="9"/>
            <color indexed="81"/>
            <rFont val="Tahoma"/>
            <family val="2"/>
          </rPr>
          <t>camila angelica contreras contreras:</t>
        </r>
        <r>
          <rPr>
            <sz val="9"/>
            <color indexed="81"/>
            <rFont val="Tahoma"/>
            <family val="2"/>
          </rPr>
          <t xml:space="preserve">
Y que pasa con mantención de paneles?</t>
        </r>
      </text>
    </comment>
  </commentList>
</comments>
</file>

<file path=xl/comments4.xml><?xml version="1.0" encoding="utf-8"?>
<comments xmlns="http://schemas.openxmlformats.org/spreadsheetml/2006/main">
  <authors>
    <author>camila angelica contreras contreras</author>
  </authors>
  <commentList>
    <comment ref="C29" authorId="0" shapeId="0">
      <text>
        <r>
          <rPr>
            <b/>
            <sz val="9"/>
            <color indexed="81"/>
            <rFont val="Tahoma"/>
            <family val="2"/>
          </rPr>
          <t>camila angelica contreras contreras:</t>
        </r>
        <r>
          <rPr>
            <sz val="9"/>
            <color indexed="81"/>
            <rFont val="Tahoma"/>
            <family val="2"/>
          </rPr>
          <t xml:space="preserve">
Complicada colocar una cantidad total estimada varíaen función de varios factores</t>
        </r>
      </text>
    </comment>
    <comment ref="K29" authorId="0" shapeId="0">
      <text>
        <r>
          <rPr>
            <b/>
            <sz val="9"/>
            <color indexed="81"/>
            <rFont val="Tahoma"/>
            <family val="2"/>
          </rPr>
          <t>camila angelica contreras contreras:</t>
        </r>
        <r>
          <rPr>
            <sz val="9"/>
            <color indexed="81"/>
            <rFont val="Tahoma"/>
            <family val="2"/>
          </rPr>
          <t xml:space="preserve">
Se amplió el horizonte de evaluación a 7 años</t>
        </r>
      </text>
    </comment>
    <comment ref="D46" authorId="0" shapeId="0">
      <text>
        <r>
          <rPr>
            <b/>
            <sz val="9"/>
            <color indexed="81"/>
            <rFont val="Tahoma"/>
            <family val="2"/>
          </rPr>
          <t>camila angelica contreras contreras:</t>
        </r>
        <r>
          <rPr>
            <sz val="9"/>
            <color indexed="81"/>
            <rFont val="Tahoma"/>
            <family val="2"/>
          </rPr>
          <t xml:space="preserve">
propuesta tentativa de sueldo para trabajadores</t>
        </r>
      </text>
    </comment>
  </commentList>
</comments>
</file>

<file path=xl/sharedStrings.xml><?xml version="1.0" encoding="utf-8"?>
<sst xmlns="http://schemas.openxmlformats.org/spreadsheetml/2006/main" count="1518" uniqueCount="375">
  <si>
    <t>PLANILLA DE CALCULO DE EVALUACIÓN ECONÓMICA : 0….-PROYECTO DE PURIFICACIÓN DE AGUA PARA CULTIVO DE CAMARONES Y TRUCHAS</t>
  </si>
  <si>
    <t>Simbología</t>
  </si>
  <si>
    <t>No modificar celda</t>
  </si>
  <si>
    <t>IPC</t>
  </si>
  <si>
    <t>Completar con valores</t>
  </si>
  <si>
    <t>Completar información escrita</t>
  </si>
  <si>
    <t>INVERSIÓN INICIAL</t>
  </si>
  <si>
    <t>ITEM</t>
  </si>
  <si>
    <t xml:space="preserve">Costo Total en $ </t>
  </si>
  <si>
    <t>Descripción</t>
  </si>
  <si>
    <t>Depreciación  % a 5 años</t>
  </si>
  <si>
    <t>N°</t>
  </si>
  <si>
    <t>OBRAS Y EQUIPOS</t>
  </si>
  <si>
    <t>Equipos</t>
  </si>
  <si>
    <t xml:space="preserve">Microred o Sistemas Fotovoltaicos </t>
  </si>
  <si>
    <t>Obras Civiles</t>
  </si>
  <si>
    <t>Acá se incluyen los equipos para monitoreo en la planta de recirculación, el grupo electrógeno de respaldo, la conservadora, las diferentes herramientas utilizadas , el contenedor de bodega de materiales y alimentos. También se considera un contenedor de laboratorio/mobiliario y una camioneta 4x2</t>
  </si>
  <si>
    <t>Sistema tratamiento de agua y recirculación</t>
  </si>
  <si>
    <t>-</t>
  </si>
  <si>
    <t>ASESORIAS PREVIAS</t>
  </si>
  <si>
    <t>Asesoría puesta en marcha</t>
  </si>
  <si>
    <t>Acá se consideran un servicio de instalación eléctrica de la planta, asesoría para el sistema de camarones y truchas, también un servicio de patología para estas especies y un servicio de instalación y puesta en marcha del sistema de recirculación</t>
  </si>
  <si>
    <t>OTRAS INVERSIONES</t>
  </si>
  <si>
    <t>Terreno</t>
  </si>
  <si>
    <t>Patentes y permisos</t>
  </si>
  <si>
    <t>Considera los permisos ante los servicios públicos</t>
  </si>
  <si>
    <t>TOTAL DE INVERSIÓN INICIAL</t>
  </si>
  <si>
    <t>INGRESOS</t>
  </si>
  <si>
    <t>Producto</t>
  </si>
  <si>
    <t>Cantidad</t>
  </si>
  <si>
    <t>Precio por kg</t>
  </si>
  <si>
    <t>Año 1</t>
  </si>
  <si>
    <t>Año 2</t>
  </si>
  <si>
    <t>Año 3</t>
  </si>
  <si>
    <t>Año 4</t>
  </si>
  <si>
    <t>Año 5</t>
  </si>
  <si>
    <t>Año 6</t>
  </si>
  <si>
    <t>Año 7</t>
  </si>
  <si>
    <t>Año 8</t>
  </si>
  <si>
    <t>Ingresos</t>
  </si>
  <si>
    <t>Camarón</t>
  </si>
  <si>
    <t>Si se estima, las ventas pueden crecer en relación a la variacion del IPC anual del 3,5%</t>
  </si>
  <si>
    <t>Trucha</t>
  </si>
  <si>
    <t>Total Ventas por año</t>
  </si>
  <si>
    <t xml:space="preserve">COSTO OPERACIÓN </t>
  </si>
  <si>
    <t>Cantidad unitaria</t>
  </si>
  <si>
    <t>Monto en $ unitario</t>
  </si>
  <si>
    <t>COSTOS VARIABLES</t>
  </si>
  <si>
    <t>A</t>
  </si>
  <si>
    <t>Extracción alevines y camarones</t>
  </si>
  <si>
    <t>Esto considera 1 extracción mensual, por 7 meses, de camarones cada una por un costo de $500.000 y un compra de alevines de trucha por $3.500.000.</t>
  </si>
  <si>
    <t>B</t>
  </si>
  <si>
    <t>Alimento</t>
  </si>
  <si>
    <t>Se considera el alimento anual para truchas y camarones, por un monto de $700.000 mensuales</t>
  </si>
  <si>
    <t>C</t>
  </si>
  <si>
    <t>Implementos</t>
  </si>
  <si>
    <t>Acá se incluyen los gastos de vestuario y elementos de seguridad para los trabajadores</t>
  </si>
  <si>
    <t>D</t>
  </si>
  <si>
    <t>Combustible</t>
  </si>
  <si>
    <t xml:space="preserve">Corresponde al combustible anual del generador, de la camioneta </t>
  </si>
  <si>
    <t>COSTOS FIJOS</t>
  </si>
  <si>
    <t>RRHH</t>
  </si>
  <si>
    <t>Costos Fotovoltaico</t>
  </si>
  <si>
    <t>Material de aseo y limpieza</t>
  </si>
  <si>
    <t>Mantención de vehículos</t>
  </si>
  <si>
    <t>Se refiere a la mantención anual de los vehículos</t>
  </si>
  <si>
    <t>E</t>
  </si>
  <si>
    <t>Costos mantenimiento planta de tratamiento</t>
  </si>
  <si>
    <t>Corresponden a la mantención de la planta de tratamiento</t>
  </si>
  <si>
    <t>F</t>
  </si>
  <si>
    <t>Oxígeno para el cultivo</t>
  </si>
  <si>
    <t>Acá se incluyen los costos por oxígeno anuales para las especias, por un monto de $50.000 mensuales</t>
  </si>
  <si>
    <t>G</t>
  </si>
  <si>
    <t>Servicios análisis de muestras</t>
  </si>
  <si>
    <t>Corresponde al monto anual por análisis de muestras patológicas, este se realiza dos veces por año por un monto de $600.000. En el primer año de funcionamiento no se incluye</t>
  </si>
  <si>
    <t>OTROS</t>
  </si>
  <si>
    <t>capacitaciones</t>
  </si>
  <si>
    <t>Transporte</t>
  </si>
  <si>
    <t>Esto incluye el transporte de truchas por dos meses, por un valor de $500.000, junto al transporte anual de equipos y materiales con un costo de $100.000 mensuales. En el primer año el costo de transporte de alevines no se considera</t>
  </si>
  <si>
    <t>TOTAL</t>
  </si>
  <si>
    <t>FLUJOS ANUALES RESUMIDOS</t>
  </si>
  <si>
    <t>AÑOS</t>
  </si>
  <si>
    <t>Año 0</t>
  </si>
  <si>
    <t>Ingresos en $</t>
  </si>
  <si>
    <t>Costos $</t>
  </si>
  <si>
    <t>Inversión $</t>
  </si>
  <si>
    <t>Capital de trabajo</t>
  </si>
  <si>
    <t>Valor de rescate $</t>
  </si>
  <si>
    <t>Recuperación capital de trabajo</t>
  </si>
  <si>
    <t>FLUJO NETO</t>
  </si>
  <si>
    <t>INDICADORES ECONOMICOS A 5 AÑOS OPERACIÓN</t>
  </si>
  <si>
    <t>Indicador Económico</t>
  </si>
  <si>
    <t>Valor Numérico</t>
  </si>
  <si>
    <t>Valor Actual Neto con Inversión (VAN c/Inversión)  en $</t>
  </si>
  <si>
    <t>TASA DE DESCUENTO</t>
  </si>
  <si>
    <t>Corresponde al sistema de paneles solares, el cual incluye el sistema de almacenamiento</t>
  </si>
  <si>
    <t>Año 9</t>
  </si>
  <si>
    <t>Año 10</t>
  </si>
  <si>
    <t>Año 11</t>
  </si>
  <si>
    <t>Año 12</t>
  </si>
  <si>
    <t>Año 13</t>
  </si>
  <si>
    <t>Año 14</t>
  </si>
  <si>
    <t>Año 15</t>
  </si>
  <si>
    <t xml:space="preserve">Recambio de piscinas </t>
  </si>
  <si>
    <t>% depreciación</t>
  </si>
  <si>
    <t>PLANILLA DE CALCULO DE EVALUACIÓN ECONÓMICA : 07….-PROYECTO MICRORED FRENTE A SITUACIONES DE EMERGENCIA</t>
  </si>
  <si>
    <t xml:space="preserve">Acá se considera el sistema de paneles solares de 90 KVA, el generador diésel de 50 KVA y las estaciones de bicicletas con 5 bicicletas cada una, con un panel de 5 kVA </t>
  </si>
  <si>
    <t>* En una microred de dimensiones como la propuesta que incluye un sistema de transporte,  la depreciación será levamente mayor, estimando en un 15%</t>
  </si>
  <si>
    <t xml:space="preserve">Corresponden a la intervención de la red de distribución, a la sala de baterías y la instalación del generador diésel. También se considera el sistema de monitoreo SCADA, al cableado y los tableros eléctricos y la certificicación SEC </t>
  </si>
  <si>
    <t>*Al ser una microred, las obras civiles no son las mismas que la construcción de alguna instalación, en este caso hay un sistema de monitoreo por lo que al tratarse de tecnologías de este estilo, el porcentaje de un 20% aproximadamente</t>
  </si>
  <si>
    <t xml:space="preserve">Se incluyen el banco de baterías de 450 kWh y un conversor de 60 kVA </t>
  </si>
  <si>
    <t>Corresponden a las asesorías para la implementación del proyecto</t>
  </si>
  <si>
    <t>No se compra terreno</t>
  </si>
  <si>
    <t>Gestor de energía para micro-red(EMS)</t>
  </si>
  <si>
    <t>Se consideró el desarrollo de un gestor de energía para microred</t>
  </si>
  <si>
    <t>Patentes, permisos y materia prima</t>
  </si>
  <si>
    <t xml:space="preserve">Puede modificarse un poco, es una estimación lo de permisos. </t>
  </si>
  <si>
    <t>Cantidad por año</t>
  </si>
  <si>
    <t>Precio</t>
  </si>
  <si>
    <t>Electricidad [kWh]</t>
  </si>
  <si>
    <t>Net-billing [kWh]</t>
  </si>
  <si>
    <t>Turismo(numero personas)</t>
  </si>
  <si>
    <t>Arriendo bicicletas*</t>
  </si>
  <si>
    <t>*Las bicicletas generan un ingreso diario de $288.000 por 300 días al año</t>
  </si>
  <si>
    <t>Insumos</t>
  </si>
  <si>
    <t>Esto incluye reemplazo para la microred y la estación de las bicicletas</t>
  </si>
  <si>
    <t>Se consideró el gasto de combustible para la microred</t>
  </si>
  <si>
    <t>Acá se considera un pago para 1 trabajador de forma anual</t>
  </si>
  <si>
    <t>Operación estacionamiento</t>
  </si>
  <si>
    <t>Logística bicicletas</t>
  </si>
  <si>
    <t>Considera un costo de 8 pagos de 3 millones, no varía con el IPC</t>
  </si>
  <si>
    <t>Equipos de reemplazo</t>
  </si>
  <si>
    <t>Corresponde un pago anual , cuyo valor no varía con el IPC</t>
  </si>
  <si>
    <t>Capacitaciones y comercialización</t>
  </si>
  <si>
    <t>Capital de trabajo $</t>
  </si>
  <si>
    <t>Recuperación capital de trabajo $</t>
  </si>
  <si>
    <t>Gastos básicos</t>
  </si>
  <si>
    <t>PLANILLA DE CALCULO DE EVALUACIÓN ECONÓMICA : 08….-PROYECTO INVERNADERO SOLAR PARA LILIUM, LOCOTO Y TUMBO</t>
  </si>
  <si>
    <t>Corresponde a la instalación de los paneles solares para el invernadero, los cuales generan una potencia de 7KVA</t>
  </si>
  <si>
    <t>Considera instrumentos de medición como balanzas, termómetros, herramientas de fumigación, entre otros</t>
  </si>
  <si>
    <t>Sistema de riego y estanques de agua</t>
  </si>
  <si>
    <t>Acá se incluye el sistema de riego por goteo que se refiere a estanques, bombas,fertirrigación, cintas conectoras,entre otros. Y también los estanques de acumulación de agua de 15 m3</t>
  </si>
  <si>
    <t>Asesoría de especialidad</t>
  </si>
  <si>
    <t>Esto corresponde a los gastos incurridos por la compra del terreno para construir el invernadero</t>
  </si>
  <si>
    <t>Acá se refiere a los gastos de las patentes y permisos necesarios para desarrollar el proyecto. También incluye los gastos en bulbos y semillas incurridos para el cultivo</t>
  </si>
  <si>
    <t>Precio(por flor o kg)</t>
  </si>
  <si>
    <t>Lilium(flores)</t>
  </si>
  <si>
    <t>Locoto(kg)</t>
  </si>
  <si>
    <t>Tumbo(kg)</t>
  </si>
  <si>
    <t xml:space="preserve">Insumos </t>
  </si>
  <si>
    <t>Esto incluye las materias primas como materia vegetal  y fertilizantes</t>
  </si>
  <si>
    <t>Se consideró el gasto de energía eléctrica y de insumos básicos como agua, teléfono, entre otros</t>
  </si>
  <si>
    <t>Acá se considera un pago de $400.000 para 4 trabajadores de forma anual, el sueldo se debe ajustar en función del número de horas de trabajo, ya sea part time o full</t>
  </si>
  <si>
    <t>Acá se incluye el mantenimiento de los paneles fotovoltaicos . Se considera que su precio no varía según el IPC y es el mismo para todo el horizonte de evaluación</t>
  </si>
  <si>
    <t xml:space="preserve">Costos mantenimiento del equipo </t>
  </si>
  <si>
    <t>Considera la mantención del invernadero y del sistema de riego por goteo. Acá también se considera que no varía según el IPC y el precio se mantiene para el tiempo analizado</t>
  </si>
  <si>
    <t>Capacitaciones y comercalización</t>
  </si>
  <si>
    <t>Se refiere a costos hechos por la comercialización como asesorías y prospección de mercados</t>
  </si>
  <si>
    <t>Se debe considerar el costo de transportar los lilium, tumbo y locoto</t>
  </si>
  <si>
    <t>*Se consideró que las mantenciones no variarán con el IPC</t>
  </si>
  <si>
    <t>*Se considera un capital de trabajo para los primeros 6 meses de operación del proyecto que pueda pagar los castos fijos iniciales.</t>
  </si>
  <si>
    <t>Sistema calefacción (muro trombe)</t>
  </si>
  <si>
    <t>Acá se consideran 2 invernaderos de 500 m2, donde cada uno requiere $2.500.000 de inversión para el locoto y tumbo. Y 6 invernaderos de 250 m2 por un costo de  $1250000 cada uno</t>
  </si>
  <si>
    <t>Corresponde a los muros trombe usado para mantener temperado el invernadero. En total se necesitan 700 m2 de muro trombe</t>
  </si>
  <si>
    <t>Costos de ampliación</t>
  </si>
  <si>
    <t xml:space="preserve">PLANILLA DE CALCULO DE EVALUACIÓN ECONÓMICA : 09….-PRODUCCIÓN DE LANA DE CAMÉLIDO </t>
  </si>
  <si>
    <t>Acá se considera el sistema de paneles fotovoltaicos  los que generan una potencia de 35 KVA, junto a los inversores y baterías</t>
  </si>
  <si>
    <t>Se incluye construcción el galpón de acopio, de procesamiento y oficinas. También se consideran el sistema de agua y de alcantarillado, además de la preparación del terreno y el cierre perimetral junto con las excavaciones respectivas</t>
  </si>
  <si>
    <t>Sistemas termosolar</t>
  </si>
  <si>
    <t>Se refiere al sistema solar térmico y rack de secado</t>
  </si>
  <si>
    <t>Asesorías</t>
  </si>
  <si>
    <t>No se considera la compra de terreno ya que este ya se tenía</t>
  </si>
  <si>
    <t>Aun no se tienen considerados estos gastos</t>
  </si>
  <si>
    <t>Cantidad en kg</t>
  </si>
  <si>
    <t>Otros hilos</t>
  </si>
  <si>
    <t>Corresponde a las materias primas usadas, es decir, el vellón y pedacería</t>
  </si>
  <si>
    <t>Se considera 12 pagos anuales por agua, gas, internet, entre otros</t>
  </si>
  <si>
    <t>Reemplazo de baterias</t>
  </si>
  <si>
    <t>Considera el reemplazo de baterías. Se considera el mismo precio para todo el tiempo de evaluación</t>
  </si>
  <si>
    <t>Costos mantenimiento diésel</t>
  </si>
  <si>
    <t>Acá se incluyen los gastos de operación y mantención, junto a la mantención del diésel. Se consideró que el valor no es afectado por el IPC</t>
  </si>
  <si>
    <t>Acá se consideran 10 pagos mensuales de $350.000 para transporte,</t>
  </si>
  <si>
    <t>Recuperación de capital de trabajo</t>
  </si>
  <si>
    <t>Corresponde a el equipo de esquila, lavadora, máquinas( abridoras de fibra, descerdadora, ovilladora, entre otras), herramientas, equipamiento de oficina, y muebles y enseres. También se le agregan hiladoras manuales</t>
  </si>
  <si>
    <t xml:space="preserve">Maquinas de hilado manuales </t>
  </si>
  <si>
    <t>Corresponde a las máquinas de hilado manuales que usarán los artesanos</t>
  </si>
  <si>
    <t>*El hilado sale como 21000 costo extra que se le añade al precio original de los productos</t>
  </si>
  <si>
    <t>Tops de hilo extra-fino</t>
  </si>
  <si>
    <t>Tops de hilo fino</t>
  </si>
  <si>
    <t>Tops de hilo semi-fino</t>
  </si>
  <si>
    <t>Tops de hilo grueso</t>
  </si>
  <si>
    <t>Esto considera el pago para 5 trabajadores por $350.000 mensuales, para labores de mano de obra y 12 pagos mensuales de 600.000 para administración. También se incluye la contratación de 8 artesanos para el proceso de hilado, por un valor mensual de $300.000</t>
  </si>
  <si>
    <t>Considera el acondicionamiento de los hostales con paneles fotovoltaicos y baterías</t>
  </si>
  <si>
    <t>Acá se incluye  la construcción de la estructura para los descansos solares, la elaboración de la señalética, el mejoramiento de los senderos de los sectores más deteriorados  y los letreros solares</t>
  </si>
  <si>
    <t>Solo se consideraron los kits de los guías que incluye cargadores, mochilas, baterias y relojes</t>
  </si>
  <si>
    <t xml:space="preserve">Se pedirá uso no oneroso de terrenos </t>
  </si>
  <si>
    <t>Tour full day</t>
  </si>
  <si>
    <t>Tour dos días y una noche</t>
  </si>
  <si>
    <t>Servicio guiado</t>
  </si>
  <si>
    <t>Entrada</t>
  </si>
  <si>
    <t>Artesanías y productos locales</t>
  </si>
  <si>
    <t>Aportes dueñas hostales</t>
  </si>
  <si>
    <t>Se considera el costo en internet y marketing</t>
  </si>
  <si>
    <t>Considera el sueldo de DOS  personas, uno de forma anual y otra de forma trimestral, por un sueldo de $400.000 mensuales</t>
  </si>
  <si>
    <t>Costos fotovoltaico</t>
  </si>
  <si>
    <t>Costos mantenimiento del equipo</t>
  </si>
  <si>
    <t>Corresponde a costos de mantención, se consideró que no varia el precio con el IPC, y se mantiene constante para todo el período de evaluación</t>
  </si>
  <si>
    <t>OTROS COSTOS</t>
  </si>
  <si>
    <t>Sistema termosolar</t>
  </si>
  <si>
    <t>Sistema para calentar agua, para los hostales, se consideran 2 colectores para cada uno de los 4 hostales, cada uno cuesta $250000</t>
  </si>
  <si>
    <t>Acondicionamiento básico</t>
  </si>
  <si>
    <t>Esto considera la instalación de servicios sanitarios (baño seco), y la implementación de una cocina solar</t>
  </si>
  <si>
    <t>Valor Actual Neto con Inversión (VAN s/Inversión)  en $</t>
  </si>
  <si>
    <t>PLANILLA DE CALCULO DE EVALUACIÓN ECONÓMICA : 10….-RUTAS TROPERAS CON MÁS VIDA ÚTIL</t>
  </si>
  <si>
    <t>PLANILLA DE CALCULO DE EVALUACIÓN ECONÓMICA : 06-PROYECTO HOSPEDAJE EN ALTURA ACONDICIONADO SOLAR</t>
  </si>
  <si>
    <t>*Aumento de la cantidad de personas y modificación de los ingresos por pago de habitación.</t>
  </si>
  <si>
    <t>Sistema fotovoltaico alimentación generador de oxígeno</t>
  </si>
  <si>
    <t>Mejoramiento de piezas y salón café con condiciones especiales + AT HOME CUBICLE: sala de café</t>
  </si>
  <si>
    <t>Equipos para oxigenación</t>
  </si>
  <si>
    <t>Cantidad [personas]</t>
  </si>
  <si>
    <t>Precio [$]</t>
  </si>
  <si>
    <t xml:space="preserve"> clientes nuevos en hostal</t>
  </si>
  <si>
    <t>aumento de clientes por tránsito</t>
  </si>
  <si>
    <t>clientes con mayor disposición a pagar cama especial</t>
  </si>
  <si>
    <t>Arriendo equipo de oxigenación</t>
  </si>
  <si>
    <t>Recarga de balones de oxígeno</t>
  </si>
  <si>
    <t>Trabajadores del Hostal</t>
  </si>
  <si>
    <t>Capacitación en manejo de compresores y sistema solar</t>
  </si>
  <si>
    <t>Valor Actual Neto sin Inversión (VAN s/Inversión)  en $</t>
  </si>
  <si>
    <t>PLANILLA DE CALCULO DE EVALUACIÓN ECONÓMICA : 05-PROYECTO AGUA POTABLE SOLAR</t>
  </si>
  <si>
    <t>Equipo de terreno</t>
  </si>
  <si>
    <t>medidores multiparametros y soluciones de calibración</t>
  </si>
  <si>
    <t>Campo de Colectores solares incluye instalación.</t>
  </si>
  <si>
    <t>Botellones policarbonato</t>
  </si>
  <si>
    <t>2500 botellones de $1500</t>
  </si>
  <si>
    <t>Permisos, Patentes, administración y certificado microred SECC</t>
  </si>
  <si>
    <t>Cantidad [Unidad]</t>
  </si>
  <si>
    <t>Agua Embotellada</t>
  </si>
  <si>
    <t>Hielo escamas por kilo</t>
  </si>
  <si>
    <t>Hielo en cubos por kilo</t>
  </si>
  <si>
    <t>Agua comunidad m3</t>
  </si>
  <si>
    <t>Botellones</t>
  </si>
  <si>
    <t>Tapas+Etiquetas</t>
  </si>
  <si>
    <t>Envasado de hielo</t>
  </si>
  <si>
    <t>Arriendo Terreno</t>
  </si>
  <si>
    <t>Elementos de limpieza</t>
  </si>
  <si>
    <t>Implementos de trabajo</t>
  </si>
  <si>
    <t>WEB</t>
  </si>
  <si>
    <t>Guardia</t>
  </si>
  <si>
    <t>Trabajadores (2 personas)</t>
  </si>
  <si>
    <t>Costos mantenimiento equipos</t>
  </si>
  <si>
    <t>Difusión</t>
  </si>
  <si>
    <t>*Aumento de la cantidad de personas que visitan anualmente la localidad. Junto con un aumento del precio en hospedaje</t>
  </si>
  <si>
    <t>Sistemas fotovoltaicos en los diferentes puntos de la ruta</t>
  </si>
  <si>
    <t>*</t>
  </si>
  <si>
    <t>Punto de información y refrigeración</t>
  </si>
  <si>
    <t>sistemas de agua caliente solar en ruta</t>
  </si>
  <si>
    <t>Asesorías especialistas</t>
  </si>
  <si>
    <t>Terreno (preparación)</t>
  </si>
  <si>
    <t>Ingresos restaurantes*</t>
  </si>
  <si>
    <t>Ingresos Alojamiento</t>
  </si>
  <si>
    <t xml:space="preserve">*Porcentaje entregado del restaurante </t>
  </si>
  <si>
    <t>Costos marketing</t>
  </si>
  <si>
    <t>PLANILLA DE CALCULO DE EVALUACIÓN ECONÓMICA : 02.2-PROYECTO DEHIDRATADOR SOLAR</t>
  </si>
  <si>
    <t>Sistemas fotovoltaicos de 28 modulos + regulador de carga+ cajas de conexión+ monitoreo radiación + baterias + instalación +transporte e conversor</t>
  </si>
  <si>
    <t>Instalación de pozos y piping. Además, de 2 contenedores con oficina, sala de ventas y baño + nivelación del terreno,cierre, recubrimineto y malla.</t>
  </si>
  <si>
    <t>Sistema de procesamiento para deshidratado, secador solar ConTenersol 1800kg, Secador Contenesor de 80 kg, , utiensilios para proceso, herramientas, mobiliario y enseres.</t>
  </si>
  <si>
    <t>Ingenieria y TIC</t>
  </si>
  <si>
    <t>Proyectos de ingenieria, arquitectura, topografía de terreno, gestión de permisos y costos de operativos HSEC.</t>
  </si>
  <si>
    <t xml:space="preserve"> Terreno de 2000 m2 por 3 años de operación y terreno de 5000 m2 por 2 años con opción de compra.</t>
  </si>
  <si>
    <t>Aji</t>
  </si>
  <si>
    <t>Rocoto</t>
  </si>
  <si>
    <t>Agua sanitizada</t>
  </si>
  <si>
    <t xml:space="preserve">Comercialización </t>
  </si>
  <si>
    <t>* Disminución de un 25% del precio de venta anteriormente planteado.</t>
  </si>
  <si>
    <t>túnel de enfriamiento</t>
  </si>
  <si>
    <t xml:space="preserve"> cámara almacenamiento, antecámara, área circulación y aislante</t>
  </si>
  <si>
    <t>Sistema de packing</t>
  </si>
  <si>
    <t>5000 m2</t>
  </si>
  <si>
    <t>Equipamiento personal</t>
  </si>
  <si>
    <t>elementos de trabajo</t>
  </si>
  <si>
    <t>Pallets, bins, bandejas, otros para embalar</t>
  </si>
  <si>
    <t>Permisos, Patentes</t>
  </si>
  <si>
    <t>Cantidad [ton]</t>
  </si>
  <si>
    <t>Precio [$ x ton]</t>
  </si>
  <si>
    <t>Tomate</t>
  </si>
  <si>
    <t>Maracuyá</t>
  </si>
  <si>
    <t>Mango</t>
  </si>
  <si>
    <t>Melón</t>
  </si>
  <si>
    <t>Pimiento</t>
  </si>
  <si>
    <t>Ají</t>
  </si>
  <si>
    <t>Insumo 1: Tomate [ton x $]</t>
  </si>
  <si>
    <t>Insumo 2: Maracuyá [ton x $]</t>
  </si>
  <si>
    <t>Insumo 3: Mango [ton x $]</t>
  </si>
  <si>
    <t>Insumo 4: Melón [ton x $]</t>
  </si>
  <si>
    <t>Insumo 5: Pimiento [ton x $]</t>
  </si>
  <si>
    <t>Insumo 6:Ají [ton x $]</t>
  </si>
  <si>
    <t xml:space="preserve">RRHH 1: Administración </t>
  </si>
  <si>
    <t>RRHH 2: Mano de obra</t>
  </si>
  <si>
    <t>considera 5 personas que trabajan todo el año (12 meses)</t>
  </si>
  <si>
    <t>Fletes</t>
  </si>
  <si>
    <t>Administrativos y comercialización</t>
  </si>
  <si>
    <t>** Aumento de la producción de 1.2 el primer años hasta llegar al doble de producción al año 5, utilizando un sistema de repisas. Considerando un aumento de gastos de consumos proporcional al aumento de producción y considerando un gasto anual por mejoramiento.</t>
  </si>
  <si>
    <t>Microred o sistema fotovoltaico</t>
  </si>
  <si>
    <t>Campo solar para la planta de tratamiento</t>
  </si>
  <si>
    <t>Equipos invernadero</t>
  </si>
  <si>
    <t>Precio [$unidad]</t>
  </si>
  <si>
    <t>Insumo 1: Pimiento Rojo</t>
  </si>
  <si>
    <t>Insumo 2:Pimiento Verde</t>
  </si>
  <si>
    <t>Insumo 3: Pimiento de descarte</t>
  </si>
  <si>
    <t>material vegetales, almacigueras y nutrientes</t>
  </si>
  <si>
    <t>Gastos básicos [mes x gasto mensual]</t>
  </si>
  <si>
    <t>RRHH [personas x sueldo anual)</t>
  </si>
  <si>
    <t>Trabajadores del invernadero</t>
  </si>
  <si>
    <t>Costos mantenimiento fotovoltaico</t>
  </si>
  <si>
    <t>Costo sin modificaciones por IPC año a año</t>
  </si>
  <si>
    <t>Costos mantenimiento planta de tratamiento de agua</t>
  </si>
  <si>
    <t>Costo operación y mantenimiento del invernadero</t>
  </si>
  <si>
    <t>Mejoramiento de las instalaciones para que caigan mas cultivos, pueden ser estantes en repisa por ejemplo.</t>
  </si>
  <si>
    <t>Costos de Packing y transporte</t>
  </si>
  <si>
    <t>PLANILLA DE CALCULO DE EVALUACIÓN ECONÓMICA :  -PROYECTO………………………………………………………………………………</t>
  </si>
  <si>
    <t>Capacitaciones</t>
  </si>
  <si>
    <t xml:space="preserve">Tasa Interna Retorno  </t>
  </si>
  <si>
    <t xml:space="preserve">Tasa Interna Retorno </t>
  </si>
  <si>
    <t>considera 2 personas que trabajan todo el año (12 meses)</t>
  </si>
  <si>
    <t>ÍTEM</t>
  </si>
  <si>
    <t>ASESORÍAS PREVIAS</t>
  </si>
  <si>
    <t>INDICADORES ECONÓMICOS A 5 AÑOS OPERACIÓN</t>
  </si>
  <si>
    <t xml:space="preserve">Cantidad </t>
  </si>
  <si>
    <t>Monto $ / unidad</t>
  </si>
  <si>
    <t>PLANILLA DE CALCULO DE EVALUACIÓN ECONÓMICA : 01-PROYECTO INVERNADERO SOLAR HIDROPÓNICO</t>
  </si>
  <si>
    <t>Obras hidráulicas e instalaciones + los 4 invernaderos</t>
  </si>
  <si>
    <t>Planta de tratamiento de agua + sistema hidroponía + sistema de acondicionamiento eléctrico</t>
  </si>
  <si>
    <t>Si se estima, las ventas pueden crecer en relación a la variación del IPC anual del 3,5%</t>
  </si>
  <si>
    <t>Mejoras de ampliación</t>
  </si>
  <si>
    <t>Monto  $ / unidad</t>
  </si>
  <si>
    <t>PLANILLA DE CALCULO DE EVALUACIÓN ECONÓMICA : 02-PROYECTO FRIGORÍFICO SOLAR</t>
  </si>
  <si>
    <t>* * Se puede reevaluar el proyecto, verificando que los ciclos de cultivo estén acordes a lo que se tiene planeado, además de modificar las instalaciones para que sean acordes a una disminución de producción.</t>
  </si>
  <si>
    <t>Sistemas fotovoltaicos+ conversor +Generador Diésel + Baterías de plomo</t>
  </si>
  <si>
    <t>Lavadora con ventilador + envasadora horizontal</t>
  </si>
  <si>
    <t>Asesorías especialistas previas y gestión administrativas para constitución de "sociedad frigorífico"</t>
  </si>
  <si>
    <t>Ropa de seguridad y herramientas</t>
  </si>
  <si>
    <t>Monto $ /unidad</t>
  </si>
  <si>
    <t>PLANILLA DE CALCULO DE EVALUACIÓN ECONÓMICA : 03-PROYECTO RUTA TURÍSTICA SOLAR</t>
  </si>
  <si>
    <t>*no suman refrigeración en el Excel anterior</t>
  </si>
  <si>
    <t>Infraestructuras, mejoramiento de restaurant, hospedaje e instalación de iluminaria.</t>
  </si>
  <si>
    <t>Equipos electrónicos en ruta</t>
  </si>
  <si>
    <t>Ingresos Ofragía</t>
  </si>
  <si>
    <t>Ingreso Servicios básicos</t>
  </si>
  <si>
    <t>Se contempla contrato de un técnico acuícola de tiempo completo, por un pago mensual de $500.000</t>
  </si>
  <si>
    <t>Corresponde a los útiles de aseo necesarios</t>
  </si>
  <si>
    <t>Corresponde al recambio de piscinas ya que no duran 15 años, las cambian 1 vez al 8 año, para q estén listas para el 9</t>
  </si>
  <si>
    <t>Se consideran la internación y des adunaje, el transporte de equipos de Arica a Camarones y transporte de equipos y materiales. También se incluyen las obras necesarias para el acondicionamiento del sitio para la instalación del campo de paneles fotovoltaicos y la obra civil sanitaria</t>
  </si>
  <si>
    <t xml:space="preserve">Esto corresponde al sistema de tratamiento de agua que procesa 8 m3/día. También se incluyó el sistema de recirculación, donde se incluyen los estanques para ambas especies, además se consideró la implementación de las piscinas según los requerimientos del proyecto </t>
  </si>
  <si>
    <t>Planta embotelladora y congelado</t>
  </si>
  <si>
    <t>Sistema e instalación de planta embotelladora, enjuagado, llenado y sellado + sistema de hielo en escamas y cubos con contenedor e instalación. Además de conservadora y camión 3/4 refrigerado para 3 toneladas máx.. Internación maquina de hielo.</t>
  </si>
  <si>
    <t>*El agua embotellada no considera el arriendo de los bidones, que son retornables</t>
  </si>
  <si>
    <t>Químicos tratamiento</t>
  </si>
  <si>
    <t>Costo mantenimiento campo termosolar</t>
  </si>
  <si>
    <t>Sistemas fotovoltaicos incluye instalación + batería, generador diésel + Conversor BESS</t>
  </si>
  <si>
    <t>Estanques, cañerías, costo de instalación, hidrolavadora + oficina, mobiliario y bodega.</t>
  </si>
  <si>
    <t>Full face sleep mask+ universal mask circuit kit+ Deluxe bed tent en piezas+ Head tent+ everest summit II+ trevel case+ Fingertip pulse oximeter+ balones de oxígeno emergencia+Wrist-mont pulse oximeter+ shiping cost</t>
  </si>
  <si>
    <t>Costos mantenimiento infraestructura</t>
  </si>
  <si>
    <t>Sistema de agua caliente sanitaria + sistema de calefacción solar para las habitaciones</t>
  </si>
  <si>
    <t>ÍTEM DE COSTO</t>
  </si>
  <si>
    <t>TOTALES</t>
  </si>
  <si>
    <t xml:space="preserve"> </t>
  </si>
  <si>
    <t>Pecuniario</t>
  </si>
  <si>
    <t>Valorizado (no pecuniario)</t>
  </si>
  <si>
    <t xml:space="preserve">COSTO TOTAL EN $ </t>
  </si>
  <si>
    <t>APORTE DE BENEFICIARIO EN $</t>
  </si>
  <si>
    <t>SOLICITADO A FONDO DE CONCURSO MI AYLLU SOLAR EN $</t>
  </si>
  <si>
    <t>COSTOS FIJOS OPERACIÓN</t>
  </si>
  <si>
    <t>COSTOS VARIABLES OPERACIÓN</t>
  </si>
  <si>
    <t>OTROS COSTOS OPERACIÓN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</si>
</sst>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Red]\-&quot;$&quot;#,##0"/>
    <numFmt numFmtId="165" formatCode="_ &quot;$&quot;* #,##0_ ;_ &quot;$&quot;* \-#,##0_ ;_ &quot;$&quot;* &quot;-&quot;_ ;_ @_ "/>
    <numFmt numFmtId="166" formatCode="_ &quot;$&quot;* #,##0.00_ ;_ &quot;$&quot;* \-#,##0.00_ ;_ &quot;$&quot;* &quot;-&quot;??_ ;_ @_ "/>
    <numFmt numFmtId="167" formatCode="0.0%"/>
    <numFmt numFmtId="168" formatCode="_-&quot;$&quot;\ * #,##0_-;\-&quot;$&quot;\ * #,##0_-;_-&quot;$&quot;\ * &quot;-&quot;??_-;_-@_-"/>
    <numFmt numFmtId="169" formatCode="_-&quot;$&quot;* #,##0_-;\-&quot;$&quot;* #,##0_-;_-&quot;$&quot;* &quot;-&quot;??_-;_-@_-"/>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rgb="FF222222"/>
      <name val="Calibri"/>
      <family val="2"/>
      <scheme val="minor"/>
    </font>
    <font>
      <sz val="10"/>
      <color rgb="FF222222"/>
      <name val="Arial"/>
      <family val="2"/>
    </font>
    <font>
      <sz val="12"/>
      <color theme="1"/>
      <name val="Calibri"/>
      <family val="2"/>
      <scheme val="minor"/>
    </font>
    <font>
      <b/>
      <sz val="12"/>
      <name val="Calibri"/>
      <family val="2"/>
      <scheme val="minor"/>
    </font>
    <font>
      <b/>
      <sz val="11"/>
      <name val="Calibri"/>
      <family val="2"/>
      <scheme val="minor"/>
    </font>
    <font>
      <sz val="11"/>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font>
    <font>
      <b/>
      <sz val="12"/>
      <color theme="0"/>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7C025"/>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9E7"/>
        <bgColor indexed="64"/>
      </patternFill>
    </fill>
    <fill>
      <patternFill patternType="solid">
        <fgColor theme="8"/>
        <bgColor indexed="64"/>
      </patternFill>
    </fill>
    <fill>
      <patternFill patternType="solid">
        <fgColor rgb="FFF7C025"/>
        <bgColor rgb="FF000000"/>
      </patternFill>
    </fill>
    <fill>
      <patternFill patternType="solid">
        <fgColor theme="7"/>
        <bgColor indexed="64"/>
      </patternFill>
    </fill>
    <fill>
      <patternFill patternType="solid">
        <fgColor theme="8" tint="0.59999389629810485"/>
        <bgColor rgb="FF000000"/>
      </patternFill>
    </fill>
    <fill>
      <patternFill patternType="solid">
        <fgColor theme="8" tint="0.39997558519241921"/>
        <bgColor indexed="64"/>
      </patternFill>
    </fill>
    <fill>
      <patternFill patternType="solid">
        <fgColor theme="7"/>
        <bgColor rgb="FF000000"/>
      </patternFill>
    </fill>
    <fill>
      <patternFill patternType="solid">
        <fgColor theme="8" tint="0.59999389629810485"/>
        <bgColor indexed="64"/>
      </patternFill>
    </fill>
    <fill>
      <patternFill patternType="solid">
        <fgColor rgb="FFFFC000"/>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style="thin">
        <color auto="1"/>
      </right>
      <top/>
      <bottom style="thin">
        <color auto="1"/>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5" fillId="2" borderId="0" xfId="0" applyFont="1" applyFill="1" applyAlignment="1">
      <alignment vertical="center"/>
    </xf>
    <xf numFmtId="0" fontId="0" fillId="2" borderId="0" xfId="0" applyFill="1" applyAlignment="1">
      <alignment vertical="center"/>
    </xf>
    <xf numFmtId="0" fontId="2" fillId="2" borderId="0" xfId="0" applyFont="1" applyFill="1"/>
    <xf numFmtId="0" fontId="4" fillId="2" borderId="0" xfId="0" applyFont="1" applyFill="1" applyAlignment="1">
      <alignment vertical="center"/>
    </xf>
    <xf numFmtId="0" fontId="6" fillId="2" borderId="0" xfId="0" applyFont="1" applyFill="1" applyAlignment="1">
      <alignment vertical="center"/>
    </xf>
    <xf numFmtId="0" fontId="5" fillId="3" borderId="1" xfId="0" applyFont="1" applyFill="1" applyBorder="1" applyAlignment="1">
      <alignment vertical="center"/>
    </xf>
    <xf numFmtId="0" fontId="6" fillId="4" borderId="1" xfId="0" applyFont="1" applyFill="1" applyBorder="1" applyAlignment="1">
      <alignment horizontal="center" vertical="center"/>
    </xf>
    <xf numFmtId="167" fontId="6" fillId="5" borderId="1" xfId="0" applyNumberFormat="1" applyFont="1" applyFill="1" applyBorder="1" applyAlignment="1">
      <alignment horizontal="center" vertical="center"/>
    </xf>
    <xf numFmtId="0" fontId="5" fillId="6" borderId="1" xfId="0" applyFont="1" applyFill="1" applyBorder="1" applyAlignment="1">
      <alignment vertical="center"/>
    </xf>
    <xf numFmtId="0" fontId="5" fillId="7" borderId="1" xfId="0" applyFont="1" applyFill="1" applyBorder="1" applyAlignment="1">
      <alignment vertical="center"/>
    </xf>
    <xf numFmtId="0" fontId="5" fillId="2" borderId="0" xfId="0" applyFont="1" applyFill="1" applyBorder="1" applyAlignment="1">
      <alignment vertical="center"/>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1"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0" fillId="2" borderId="0" xfId="0" applyFill="1" applyAlignment="1">
      <alignment horizontal="center" vertical="center"/>
    </xf>
    <xf numFmtId="0" fontId="3" fillId="10" borderId="1" xfId="0" applyFont="1" applyFill="1" applyBorder="1" applyAlignment="1">
      <alignment horizontal="center" vertical="center" wrapText="1"/>
    </xf>
    <xf numFmtId="0" fontId="2" fillId="2" borderId="0" xfId="0" applyFont="1" applyFill="1" applyAlignment="1">
      <alignment horizontal="center"/>
    </xf>
    <xf numFmtId="0" fontId="8" fillId="9" borderId="1" xfId="0" applyFont="1" applyFill="1" applyBorder="1" applyAlignment="1">
      <alignment horizontal="center" vertical="center"/>
    </xf>
    <xf numFmtId="0" fontId="0" fillId="12" borderId="1" xfId="0" applyFont="1" applyFill="1" applyBorder="1"/>
    <xf numFmtId="0" fontId="0" fillId="12" borderId="1" xfId="0" applyFill="1" applyBorder="1" applyAlignment="1">
      <alignment horizontal="center" vertical="center" wrapText="1"/>
    </xf>
    <xf numFmtId="0" fontId="9" fillId="3" borderId="1" xfId="0" applyFont="1" applyFill="1" applyBorder="1" applyAlignment="1">
      <alignment horizontal="center" vertical="top" wrapText="1"/>
    </xf>
    <xf numFmtId="0" fontId="9" fillId="7" borderId="1" xfId="0" applyFont="1" applyFill="1" applyBorder="1" applyAlignment="1">
      <alignment vertical="top" wrapText="1"/>
    </xf>
    <xf numFmtId="168" fontId="9" fillId="6" borderId="1" xfId="0" applyNumberFormat="1" applyFont="1" applyFill="1" applyBorder="1" applyAlignment="1">
      <alignment horizontal="right" vertical="center" wrapText="1"/>
    </xf>
    <xf numFmtId="0" fontId="0" fillId="6" borderId="1" xfId="0" applyFont="1" applyFill="1" applyBorder="1"/>
    <xf numFmtId="168" fontId="0" fillId="10" borderId="1" xfId="0" applyNumberFormat="1" applyFill="1" applyBorder="1" applyAlignment="1">
      <alignment horizontal="center" vertical="center"/>
    </xf>
    <xf numFmtId="0" fontId="10" fillId="3" borderId="1" xfId="0" applyFont="1" applyFill="1" applyBorder="1" applyAlignment="1">
      <alignment horizontal="center" vertical="top"/>
    </xf>
    <xf numFmtId="0" fontId="0" fillId="2" borderId="0" xfId="0" applyFill="1" applyAlignment="1">
      <alignment vertical="center" wrapText="1"/>
    </xf>
    <xf numFmtId="0" fontId="10" fillId="10" borderId="2" xfId="0" applyFont="1" applyFill="1" applyBorder="1" applyAlignment="1">
      <alignment vertical="top"/>
    </xf>
    <xf numFmtId="0" fontId="10" fillId="10" borderId="8" xfId="0" applyFont="1" applyFill="1" applyBorder="1" applyAlignment="1">
      <alignment vertical="top"/>
    </xf>
    <xf numFmtId="168" fontId="8" fillId="9" borderId="7" xfId="0" applyNumberFormat="1" applyFont="1" applyFill="1" applyBorder="1" applyAlignment="1">
      <alignment vertical="center"/>
    </xf>
    <xf numFmtId="0" fontId="9" fillId="2" borderId="0" xfId="0" applyFont="1" applyFill="1" applyBorder="1" applyAlignment="1">
      <alignment vertical="top" wrapText="1"/>
    </xf>
    <xf numFmtId="0" fontId="0" fillId="10" borderId="1" xfId="0" applyFont="1" applyFill="1" applyBorder="1"/>
    <xf numFmtId="0" fontId="0" fillId="10" borderId="1" xfId="0" applyFill="1" applyBorder="1" applyAlignment="1">
      <alignment horizontal="center" vertical="center"/>
    </xf>
    <xf numFmtId="0" fontId="0" fillId="12" borderId="1" xfId="0" applyFill="1" applyBorder="1" applyAlignment="1">
      <alignment horizontal="center" vertical="center"/>
    </xf>
    <xf numFmtId="0" fontId="10" fillId="10" borderId="3" xfId="0" applyFont="1" applyFill="1" applyBorder="1" applyAlignment="1">
      <alignment horizontal="center" vertical="top"/>
    </xf>
    <xf numFmtId="168" fontId="8" fillId="13" borderId="1" xfId="0" applyNumberFormat="1" applyFont="1" applyFill="1" applyBorder="1" applyAlignment="1">
      <alignment horizontal="right" vertical="center"/>
    </xf>
    <xf numFmtId="0" fontId="10" fillId="2" borderId="2" xfId="0" applyFont="1" applyFill="1" applyBorder="1" applyAlignment="1">
      <alignment vertical="center" wrapText="1"/>
    </xf>
    <xf numFmtId="0" fontId="0" fillId="2" borderId="9" xfId="0" applyFill="1" applyBorder="1" applyAlignment="1">
      <alignment vertical="center"/>
    </xf>
    <xf numFmtId="0" fontId="10" fillId="7" borderId="1" xfId="0" applyFont="1" applyFill="1" applyBorder="1" applyAlignment="1">
      <alignment vertical="center" wrapText="1"/>
    </xf>
    <xf numFmtId="165" fontId="8" fillId="9" borderId="1" xfId="2" applyFont="1" applyFill="1" applyBorder="1" applyAlignment="1">
      <alignment horizontal="right" vertical="center"/>
    </xf>
    <xf numFmtId="0" fontId="10" fillId="2" borderId="0" xfId="0" applyFont="1" applyFill="1" applyBorder="1" applyAlignment="1">
      <alignment vertical="center" wrapText="1"/>
    </xf>
    <xf numFmtId="168" fontId="3" fillId="10" borderId="1" xfId="0" applyNumberFormat="1" applyFont="1" applyFill="1" applyBorder="1" applyAlignment="1">
      <alignment horizontal="center" vertical="center"/>
    </xf>
    <xf numFmtId="0" fontId="2" fillId="2" borderId="0" xfId="0" applyFont="1" applyFill="1" applyBorder="1"/>
    <xf numFmtId="0" fontId="8" fillId="9" borderId="10" xfId="0" applyFont="1" applyFill="1" applyBorder="1" applyAlignment="1">
      <alignment vertical="center"/>
    </xf>
    <xf numFmtId="168" fontId="8" fillId="3" borderId="1" xfId="0" applyNumberFormat="1" applyFont="1" applyFill="1" applyBorder="1" applyAlignment="1">
      <alignment horizontal="right" vertical="center" wrapText="1"/>
    </xf>
    <xf numFmtId="0" fontId="10" fillId="2" borderId="0" xfId="0" applyFont="1" applyFill="1" applyBorder="1" applyAlignment="1">
      <alignment horizontal="center" vertical="top"/>
    </xf>
    <xf numFmtId="0" fontId="10" fillId="2" borderId="0" xfId="0" applyFont="1" applyFill="1" applyBorder="1" applyAlignment="1">
      <alignment vertical="top"/>
    </xf>
    <xf numFmtId="0" fontId="9" fillId="2" borderId="0" xfId="0" applyFont="1" applyFill="1" applyBorder="1" applyAlignment="1">
      <alignment horizontal="center" vertical="center" wrapText="1"/>
    </xf>
    <xf numFmtId="3" fontId="9" fillId="2" borderId="0" xfId="0" applyNumberFormat="1" applyFont="1" applyFill="1" applyBorder="1" applyAlignment="1">
      <alignment horizontal="right" vertical="center" wrapText="1"/>
    </xf>
    <xf numFmtId="0" fontId="9" fillId="2" borderId="0" xfId="0" applyFont="1" applyFill="1" applyBorder="1" applyAlignment="1">
      <alignment horizontal="right" vertical="center" wrapText="1"/>
    </xf>
    <xf numFmtId="168" fontId="10" fillId="2" borderId="0" xfId="0" applyNumberFormat="1" applyFont="1" applyFill="1" applyBorder="1" applyAlignment="1">
      <alignment horizontal="right" vertical="center" wrapText="1"/>
    </xf>
    <xf numFmtId="0" fontId="7" fillId="8" borderId="0" xfId="0" applyFont="1" applyFill="1" applyBorder="1" applyAlignment="1">
      <alignment horizontal="center" vertical="center"/>
    </xf>
    <xf numFmtId="0" fontId="7" fillId="2" borderId="0" xfId="0" applyFont="1" applyFill="1" applyBorder="1" applyAlignment="1">
      <alignment vertical="center"/>
    </xf>
    <xf numFmtId="3"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12" borderId="0" xfId="0" applyFont="1" applyFill="1" applyBorder="1" applyAlignment="1">
      <alignment horizontal="center" vertical="center"/>
    </xf>
    <xf numFmtId="0" fontId="6" fillId="2" borderId="0" xfId="0" applyFont="1" applyFill="1" applyBorder="1" applyAlignment="1">
      <alignment vertical="center"/>
    </xf>
    <xf numFmtId="0" fontId="8" fillId="3" borderId="1" xfId="0" applyFont="1" applyFill="1" applyBorder="1" applyAlignment="1">
      <alignment horizontal="center" vertical="top" wrapText="1"/>
    </xf>
    <xf numFmtId="0" fontId="6" fillId="7" borderId="1" xfId="0" applyFont="1" applyFill="1" applyBorder="1" applyAlignment="1">
      <alignment vertical="center"/>
    </xf>
    <xf numFmtId="169" fontId="5" fillId="0" borderId="1" xfId="1" applyNumberFormat="1" applyFont="1" applyFill="1" applyBorder="1" applyAlignment="1">
      <alignment horizontal="center" vertical="center"/>
    </xf>
    <xf numFmtId="169" fontId="5" fillId="6" borderId="1" xfId="1" applyNumberFormat="1" applyFont="1" applyFill="1" applyBorder="1" applyAlignment="1">
      <alignment horizontal="center" vertical="center"/>
    </xf>
    <xf numFmtId="169" fontId="5" fillId="3" borderId="1" xfId="1" applyNumberFormat="1"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0" fillId="2" borderId="0" xfId="0" applyFill="1" applyBorder="1" applyAlignment="1">
      <alignment horizontal="center" vertical="center"/>
    </xf>
    <xf numFmtId="0" fontId="0" fillId="2" borderId="0" xfId="0" applyFill="1" applyBorder="1" applyAlignment="1">
      <alignment vertical="center"/>
    </xf>
    <xf numFmtId="0" fontId="12" fillId="2" borderId="0" xfId="0" applyFont="1" applyFill="1" applyBorder="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wrapText="1"/>
    </xf>
    <xf numFmtId="0" fontId="6" fillId="14" borderId="1" xfId="0" applyFont="1" applyFill="1" applyBorder="1" applyAlignment="1">
      <alignment horizontal="center" vertical="center"/>
    </xf>
    <xf numFmtId="0" fontId="13" fillId="14" borderId="1" xfId="0" applyFont="1" applyFill="1" applyBorder="1" applyAlignment="1">
      <alignment vertical="center"/>
    </xf>
    <xf numFmtId="3" fontId="6" fillId="7" borderId="1" xfId="0" applyNumberFormat="1" applyFont="1" applyFill="1" applyBorder="1" applyAlignment="1">
      <alignment horizontal="left" vertical="center" wrapText="1"/>
    </xf>
    <xf numFmtId="168" fontId="9" fillId="3" borderId="1" xfId="0" applyNumberFormat="1" applyFont="1" applyFill="1" applyBorder="1" applyAlignment="1">
      <alignment horizontal="right" vertical="center" wrapText="1"/>
    </xf>
    <xf numFmtId="0" fontId="5" fillId="7" borderId="1" xfId="0" applyFont="1" applyFill="1" applyBorder="1" applyAlignment="1">
      <alignment vertical="center" wrapText="1"/>
    </xf>
    <xf numFmtId="0" fontId="5" fillId="14" borderId="1" xfId="0" applyFont="1" applyFill="1" applyBorder="1" applyAlignment="1">
      <alignment vertical="center"/>
    </xf>
    <xf numFmtId="0" fontId="6" fillId="7" borderId="1" xfId="0" applyFont="1" applyFill="1" applyBorder="1" applyAlignment="1">
      <alignment vertical="center" wrapText="1"/>
    </xf>
    <xf numFmtId="0" fontId="6" fillId="14" borderId="4" xfId="0" applyFont="1" applyFill="1" applyBorder="1" applyAlignment="1">
      <alignment horizontal="center" vertical="center"/>
    </xf>
    <xf numFmtId="0" fontId="5" fillId="10" borderId="1" xfId="0" applyFont="1" applyFill="1" applyBorder="1" applyAlignment="1">
      <alignment vertical="center"/>
    </xf>
    <xf numFmtId="3" fontId="0" fillId="2" borderId="0" xfId="0" applyNumberFormat="1" applyFill="1" applyAlignment="1">
      <alignment vertical="center"/>
    </xf>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2" borderId="0" xfId="0" applyFont="1" applyFill="1" applyBorder="1" applyAlignment="1">
      <alignment horizontal="center" vertical="center"/>
    </xf>
    <xf numFmtId="0" fontId="15" fillId="3" borderId="1" xfId="0" applyFont="1" applyFill="1" applyBorder="1" applyAlignment="1">
      <alignment vertical="center"/>
    </xf>
    <xf numFmtId="3" fontId="0" fillId="3" borderId="1" xfId="0" applyNumberFormat="1" applyFill="1" applyBorder="1" applyAlignment="1">
      <alignment vertical="center"/>
    </xf>
    <xf numFmtId="3" fontId="0" fillId="2" borderId="0" xfId="0" applyNumberFormat="1" applyFill="1" applyBorder="1" applyAlignment="1">
      <alignment vertical="center"/>
    </xf>
    <xf numFmtId="3" fontId="16" fillId="3" borderId="1" xfId="0" applyNumberFormat="1" applyFont="1" applyFill="1" applyBorder="1" applyAlignment="1">
      <alignment vertical="center"/>
    </xf>
    <xf numFmtId="9" fontId="0" fillId="2" borderId="0" xfId="0" applyNumberFormat="1" applyFill="1" applyAlignment="1">
      <alignment vertical="center"/>
    </xf>
    <xf numFmtId="0" fontId="6" fillId="10" borderId="1" xfId="0" applyFont="1" applyFill="1" applyBorder="1" applyAlignment="1">
      <alignment horizontal="center" vertical="center"/>
    </xf>
    <xf numFmtId="0" fontId="6" fillId="12" borderId="1" xfId="0" applyFont="1" applyFill="1" applyBorder="1" applyAlignment="1">
      <alignment horizontal="left" vertical="center"/>
    </xf>
    <xf numFmtId="0" fontId="9" fillId="10" borderId="1" xfId="0" applyFont="1" applyFill="1" applyBorder="1" applyAlignment="1">
      <alignment horizontal="center" vertical="top" wrapText="1"/>
    </xf>
    <xf numFmtId="0" fontId="5" fillId="10" borderId="1" xfId="0" applyFont="1" applyFill="1" applyBorder="1" applyAlignment="1">
      <alignment horizontal="left" vertical="center" wrapText="1"/>
    </xf>
    <xf numFmtId="164" fontId="6" fillId="10" borderId="1" xfId="0" applyNumberFormat="1" applyFont="1" applyFill="1" applyBorder="1" applyAlignment="1">
      <alignment horizontal="right" vertical="center"/>
    </xf>
    <xf numFmtId="0" fontId="5" fillId="10" borderId="1" xfId="0" applyFont="1" applyFill="1" applyBorder="1" applyAlignment="1">
      <alignment horizontal="left" vertical="center"/>
    </xf>
    <xf numFmtId="167" fontId="6" fillId="10" borderId="1" xfId="0" applyNumberFormat="1" applyFont="1" applyFill="1" applyBorder="1" applyAlignment="1">
      <alignment horizontal="right" vertical="center"/>
    </xf>
    <xf numFmtId="0" fontId="17" fillId="4" borderId="1" xfId="0" applyFont="1" applyFill="1" applyBorder="1" applyAlignment="1">
      <alignment vertical="center"/>
    </xf>
    <xf numFmtId="9" fontId="17" fillId="6" borderId="1" xfId="0" applyNumberFormat="1" applyFont="1" applyFill="1" applyBorder="1" applyAlignment="1">
      <alignment vertical="center"/>
    </xf>
    <xf numFmtId="0" fontId="9" fillId="7" borderId="1" xfId="0" applyFont="1" applyFill="1" applyBorder="1" applyAlignment="1">
      <alignment vertical="top"/>
    </xf>
    <xf numFmtId="0" fontId="6" fillId="3" borderId="2" xfId="0" applyFont="1" applyFill="1" applyBorder="1" applyAlignment="1">
      <alignment vertical="center"/>
    </xf>
    <xf numFmtId="3" fontId="0" fillId="10" borderId="1" xfId="0" applyNumberFormat="1" applyFill="1" applyBorder="1" applyAlignment="1">
      <alignment vertical="center"/>
    </xf>
    <xf numFmtId="3" fontId="6" fillId="14" borderId="4" xfId="0" applyNumberFormat="1" applyFont="1" applyFill="1" applyBorder="1" applyAlignment="1">
      <alignment horizontal="center" vertical="center" wrapText="1"/>
    </xf>
    <xf numFmtId="164" fontId="6" fillId="10" borderId="1" xfId="0" applyNumberFormat="1" applyFont="1" applyFill="1" applyBorder="1" applyAlignment="1">
      <alignment horizontal="right" vertical="center" wrapText="1"/>
    </xf>
    <xf numFmtId="0" fontId="20" fillId="15" borderId="1" xfId="0" applyFont="1" applyFill="1" applyBorder="1" applyAlignment="1">
      <alignment horizontal="center" vertical="center"/>
    </xf>
    <xf numFmtId="0" fontId="5" fillId="2" borderId="0" xfId="0" applyFont="1" applyFill="1" applyAlignment="1">
      <alignment vertical="center" wrapText="1"/>
    </xf>
    <xf numFmtId="0" fontId="17" fillId="3" borderId="1" xfId="0" applyFont="1" applyFill="1" applyBorder="1" applyAlignment="1">
      <alignment horizontal="center" vertical="top"/>
    </xf>
    <xf numFmtId="0" fontId="10" fillId="2" borderId="8" xfId="0" applyFont="1" applyFill="1" applyBorder="1" applyAlignment="1">
      <alignment vertical="top" wrapText="1"/>
    </xf>
    <xf numFmtId="0" fontId="17" fillId="4" borderId="7" xfId="0" applyFont="1" applyFill="1" applyBorder="1" applyAlignment="1">
      <alignment vertical="center"/>
    </xf>
    <xf numFmtId="9" fontId="17" fillId="6" borderId="7" xfId="0" applyNumberFormat="1" applyFont="1" applyFill="1" applyBorder="1" applyAlignment="1">
      <alignment vertical="center"/>
    </xf>
    <xf numFmtId="168" fontId="0" fillId="2" borderId="0" xfId="0" applyNumberFormat="1" applyFill="1" applyAlignment="1">
      <alignment vertical="center"/>
    </xf>
    <xf numFmtId="168" fontId="10" fillId="2" borderId="0" xfId="0" applyNumberFormat="1" applyFont="1" applyFill="1" applyBorder="1" applyAlignment="1">
      <alignment vertical="center" wrapText="1"/>
    </xf>
    <xf numFmtId="169" fontId="5" fillId="7" borderId="1" xfId="1" applyNumberFormat="1" applyFont="1" applyFill="1" applyBorder="1" applyAlignment="1">
      <alignment horizontal="center" vertical="center"/>
    </xf>
    <xf numFmtId="0" fontId="10" fillId="10" borderId="12" xfId="0" applyFont="1" applyFill="1" applyBorder="1" applyAlignment="1">
      <alignment vertical="top"/>
    </xf>
    <xf numFmtId="0" fontId="10" fillId="10" borderId="0" xfId="0" applyFont="1" applyFill="1" applyBorder="1" applyAlignment="1">
      <alignment vertical="top"/>
    </xf>
    <xf numFmtId="168" fontId="8" fillId="9" borderId="14" xfId="0" applyNumberFormat="1" applyFont="1" applyFill="1" applyBorder="1" applyAlignment="1">
      <alignment vertical="center"/>
    </xf>
    <xf numFmtId="0" fontId="6" fillId="2" borderId="0" xfId="0" applyFont="1" applyFill="1" applyBorder="1" applyAlignment="1">
      <alignment horizontal="center" vertical="center"/>
    </xf>
    <xf numFmtId="0" fontId="17" fillId="3" borderId="0" xfId="0" applyFont="1" applyFill="1" applyBorder="1" applyAlignment="1">
      <alignment horizontal="center" vertical="top"/>
    </xf>
    <xf numFmtId="0" fontId="6" fillId="7" borderId="1" xfId="0" applyFont="1" applyFill="1" applyBorder="1" applyAlignment="1">
      <alignment horizontal="left" vertical="center"/>
    </xf>
    <xf numFmtId="0" fontId="5" fillId="2" borderId="0" xfId="0" applyFont="1" applyFill="1" applyBorder="1" applyAlignment="1">
      <alignment vertical="center" wrapText="1"/>
    </xf>
    <xf numFmtId="0" fontId="3" fillId="10" borderId="1" xfId="0" applyFont="1" applyFill="1" applyBorder="1" applyAlignment="1">
      <alignment horizontal="center" vertical="center"/>
    </xf>
    <xf numFmtId="169" fontId="5" fillId="3" borderId="11" xfId="1" applyNumberFormat="1"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0" fillId="10" borderId="1" xfId="0" applyFont="1" applyFill="1" applyBorder="1" applyAlignment="1">
      <alignment horizontal="center"/>
    </xf>
    <xf numFmtId="165" fontId="5" fillId="7" borderId="1" xfId="2" applyFont="1" applyFill="1" applyBorder="1" applyAlignment="1">
      <alignment vertical="center"/>
    </xf>
    <xf numFmtId="165" fontId="5" fillId="6" borderId="1" xfId="2" applyFont="1" applyFill="1" applyBorder="1" applyAlignment="1">
      <alignment vertical="center"/>
    </xf>
    <xf numFmtId="169" fontId="5" fillId="10" borderId="1" xfId="1" applyNumberFormat="1" applyFont="1" applyFill="1" applyBorder="1" applyAlignment="1">
      <alignment horizontal="center" vertical="center"/>
    </xf>
    <xf numFmtId="165" fontId="9" fillId="3" borderId="1" xfId="2" applyFont="1" applyFill="1" applyBorder="1" applyAlignment="1">
      <alignment horizontal="right" vertical="center" wrapText="1"/>
    </xf>
    <xf numFmtId="0" fontId="5" fillId="7" borderId="0" xfId="0" applyFont="1" applyFill="1" applyBorder="1" applyAlignment="1">
      <alignment vertical="center"/>
    </xf>
    <xf numFmtId="165" fontId="9" fillId="6" borderId="1" xfId="2" applyFont="1" applyFill="1" applyBorder="1" applyAlignment="1">
      <alignment horizontal="right" vertical="center" wrapText="1"/>
    </xf>
    <xf numFmtId="1" fontId="5" fillId="6" borderId="1" xfId="0" applyNumberFormat="1" applyFont="1" applyFill="1" applyBorder="1" applyAlignment="1">
      <alignment vertical="center"/>
    </xf>
    <xf numFmtId="3" fontId="5" fillId="6" borderId="1" xfId="0" applyNumberFormat="1" applyFont="1" applyFill="1" applyBorder="1" applyAlignment="1">
      <alignment vertical="center"/>
    </xf>
    <xf numFmtId="0" fontId="8" fillId="9" borderId="10" xfId="0" applyFont="1" applyFill="1" applyBorder="1" applyAlignment="1">
      <alignment horizontal="right" vertical="center"/>
    </xf>
    <xf numFmtId="168" fontId="8" fillId="3" borderId="10" xfId="0" applyNumberFormat="1" applyFont="1" applyFill="1" applyBorder="1" applyAlignment="1">
      <alignment horizontal="right" vertical="center" wrapText="1"/>
    </xf>
    <xf numFmtId="0" fontId="8" fillId="9" borderId="2" xfId="0" applyFont="1" applyFill="1" applyBorder="1" applyAlignment="1">
      <alignment horizontal="center" vertical="center" wrapText="1"/>
    </xf>
    <xf numFmtId="0" fontId="8" fillId="9" borderId="1" xfId="0" applyFont="1" applyFill="1" applyBorder="1" applyAlignment="1">
      <alignment horizontal="center" vertical="center" wrapText="1"/>
    </xf>
    <xf numFmtId="9" fontId="8" fillId="3" borderId="1" xfId="3" applyFont="1" applyFill="1" applyBorder="1" applyAlignment="1">
      <alignment horizontal="right" vertical="center" wrapText="1"/>
    </xf>
    <xf numFmtId="9" fontId="8" fillId="9" borderId="1" xfId="3" applyFont="1" applyFill="1" applyBorder="1" applyAlignment="1">
      <alignment horizontal="center" vertical="center" wrapText="1"/>
    </xf>
    <xf numFmtId="3" fontId="6" fillId="14" borderId="2" xfId="0" applyNumberFormat="1" applyFont="1" applyFill="1" applyBorder="1" applyAlignment="1">
      <alignment horizontal="center" vertical="center" wrapText="1"/>
    </xf>
    <xf numFmtId="3" fontId="6" fillId="14" borderId="3" xfId="0" applyNumberFormat="1" applyFont="1" applyFill="1" applyBorder="1" applyAlignment="1">
      <alignment horizontal="center" vertical="center" wrapText="1"/>
    </xf>
    <xf numFmtId="3" fontId="6" fillId="14" borderId="4" xfId="0" applyNumberFormat="1"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2"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21" fillId="8" borderId="2"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21" fillId="8" borderId="5" xfId="0" applyFont="1" applyFill="1" applyBorder="1" applyAlignment="1">
      <alignment horizontal="center" vertical="center"/>
    </xf>
    <xf numFmtId="0" fontId="21" fillId="8" borderId="8" xfId="0" applyFont="1" applyFill="1" applyBorder="1" applyAlignment="1">
      <alignment horizontal="center" vertical="center"/>
    </xf>
    <xf numFmtId="0" fontId="21" fillId="8" borderId="6" xfId="0" applyFont="1" applyFill="1" applyBorder="1" applyAlignment="1">
      <alignment horizontal="center" vertical="center"/>
    </xf>
    <xf numFmtId="0" fontId="6" fillId="14" borderId="2" xfId="0" applyFont="1" applyFill="1" applyBorder="1" applyAlignment="1">
      <alignment horizontal="center" vertical="center"/>
    </xf>
    <xf numFmtId="0" fontId="6" fillId="14" borderId="3" xfId="0" applyFont="1" applyFill="1" applyBorder="1" applyAlignment="1">
      <alignment horizontal="center" vertical="center"/>
    </xf>
    <xf numFmtId="0" fontId="6" fillId="14" borderId="4" xfId="0" applyFont="1" applyFill="1" applyBorder="1" applyAlignment="1">
      <alignment horizontal="center" vertical="center"/>
    </xf>
    <xf numFmtId="0" fontId="10" fillId="3" borderId="2" xfId="0" applyFont="1" applyFill="1" applyBorder="1" applyAlignment="1">
      <alignment horizontal="center" vertical="top"/>
    </xf>
    <xf numFmtId="0" fontId="10" fillId="3" borderId="4" xfId="0" applyFont="1" applyFill="1" applyBorder="1" applyAlignment="1">
      <alignment horizontal="center" vertical="top"/>
    </xf>
    <xf numFmtId="0" fontId="6" fillId="12" borderId="7" xfId="0" applyFont="1" applyFill="1" applyBorder="1" applyAlignment="1">
      <alignment horizontal="center" vertical="center"/>
    </xf>
    <xf numFmtId="0" fontId="6" fillId="12" borderId="10"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4"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4" fillId="2" borderId="0" xfId="0" applyFont="1" applyFill="1" applyAlignment="1">
      <alignment horizontal="center" vertical="center"/>
    </xf>
    <xf numFmtId="0" fontId="0" fillId="8" borderId="1" xfId="0" applyFill="1" applyBorder="1" applyAlignment="1">
      <alignment horizontal="center" vertical="center"/>
    </xf>
    <xf numFmtId="0" fontId="8" fillId="11" borderId="1" xfId="0" applyFont="1" applyFill="1" applyBorder="1" applyAlignment="1">
      <alignment horizontal="center" vertical="center"/>
    </xf>
    <xf numFmtId="0" fontId="14" fillId="8" borderId="2"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10" fillId="2" borderId="8" xfId="0" applyFont="1" applyFill="1" applyBorder="1" applyAlignment="1">
      <alignment horizontal="left" vertical="top" wrapText="1"/>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6" xfId="0" applyFont="1" applyFill="1" applyBorder="1" applyAlignment="1">
      <alignment horizontal="center" vertical="center"/>
    </xf>
    <xf numFmtId="0" fontId="4" fillId="2" borderId="0" xfId="0" applyFont="1" applyFill="1" applyAlignment="1">
      <alignment horizontal="center" vertical="center" wrapText="1"/>
    </xf>
    <xf numFmtId="0" fontId="7" fillId="8" borderId="1" xfId="0" applyFont="1" applyFill="1" applyBorder="1" applyAlignment="1">
      <alignment horizontal="center" vertical="center"/>
    </xf>
    <xf numFmtId="0" fontId="6" fillId="14" borderId="1" xfId="0" applyFont="1" applyFill="1" applyBorder="1" applyAlignment="1">
      <alignment horizontal="center" vertical="center"/>
    </xf>
    <xf numFmtId="0" fontId="14" fillId="8" borderId="12" xfId="0" applyFont="1" applyFill="1" applyBorder="1" applyAlignment="1">
      <alignment horizontal="center" vertical="center"/>
    </xf>
    <xf numFmtId="0" fontId="14" fillId="8" borderId="13" xfId="0" applyFont="1" applyFill="1" applyBorder="1" applyAlignment="1">
      <alignment horizontal="center" vertical="center"/>
    </xf>
    <xf numFmtId="3" fontId="6" fillId="14" borderId="1" xfId="0" applyNumberFormat="1" applyFont="1" applyFill="1" applyBorder="1" applyAlignment="1">
      <alignment horizontal="center" vertical="center" wrapText="1"/>
    </xf>
    <xf numFmtId="165" fontId="6" fillId="14" borderId="3" xfId="2" applyFont="1" applyFill="1" applyBorder="1" applyAlignment="1">
      <alignment horizontal="center" vertical="center"/>
    </xf>
    <xf numFmtId="165" fontId="6" fillId="14" borderId="4" xfId="2" applyFont="1" applyFill="1" applyBorder="1" applyAlignment="1">
      <alignment horizontal="center" vertical="center"/>
    </xf>
    <xf numFmtId="0" fontId="3" fillId="2" borderId="0" xfId="0" applyFont="1" applyFill="1" applyBorder="1" applyAlignment="1">
      <alignment horizontal="center"/>
    </xf>
    <xf numFmtId="0" fontId="6" fillId="12" borderId="1" xfId="0" applyFont="1" applyFill="1" applyBorder="1" applyAlignment="1">
      <alignment horizontal="center" vertical="center"/>
    </xf>
  </cellXfs>
  <cellStyles count="4">
    <cellStyle name="Moneda" xfId="1" builtinId="4"/>
    <cellStyle name="Moneda [0]" xfId="2" builtinId="7"/>
    <cellStyle name="Normal" xfId="0" builtinId="0"/>
    <cellStyle name="Porcentaje" xfId="3" builtinId="5"/>
  </cellStyles>
  <dxfs count="0"/>
  <tableStyles count="0" defaultTableStyle="TableStyleMedium2" defaultPivotStyle="PivotStyleLight16"/>
  <colors>
    <mruColors>
      <color rgb="FFFF3399"/>
      <color rgb="FFCC99FF"/>
      <color rgb="FFF7C0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tabSelected="1" workbookViewId="0">
      <selection activeCell="G91" sqref="G91"/>
    </sheetView>
  </sheetViews>
  <sheetFormatPr baseColWidth="10" defaultColWidth="10.85546875" defaultRowHeight="15" x14ac:dyDescent="0.25"/>
  <cols>
    <col min="1" max="1" width="10.85546875" style="3"/>
    <col min="2" max="2" width="37.85546875" style="3" customWidth="1"/>
    <col min="3" max="3" width="15.85546875" style="3" customWidth="1"/>
    <col min="4" max="4" width="21.85546875" style="3" customWidth="1"/>
    <col min="5" max="5" width="18" style="3" customWidth="1"/>
    <col min="6" max="6" width="20.7109375" style="3" customWidth="1"/>
    <col min="7" max="7" width="17" style="3" customWidth="1"/>
    <col min="8" max="8" width="23.28515625" style="3" customWidth="1"/>
    <col min="9" max="9" width="23" style="3" customWidth="1"/>
    <col min="10" max="10" width="24" style="3" customWidth="1"/>
    <col min="11" max="16384" width="10.85546875" style="3"/>
  </cols>
  <sheetData>
    <row r="1" spans="1:12" ht="21" x14ac:dyDescent="0.25">
      <c r="A1" s="175" t="s">
        <v>320</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c r="B6" s="5"/>
      <c r="C6" s="1"/>
      <c r="D6" s="1"/>
      <c r="E6" s="1"/>
      <c r="F6" s="11"/>
      <c r="G6" s="5"/>
      <c r="H6" s="1"/>
      <c r="I6" s="1"/>
      <c r="J6" s="2"/>
      <c r="K6" s="2"/>
      <c r="L6" s="2"/>
    </row>
    <row r="7" spans="1:12" ht="15.75" x14ac:dyDescent="0.25">
      <c r="A7" s="151" t="s">
        <v>6</v>
      </c>
      <c r="B7" s="152"/>
      <c r="C7" s="152"/>
      <c r="D7" s="153"/>
      <c r="E7" s="1"/>
      <c r="F7" s="176"/>
      <c r="G7" s="176"/>
      <c r="H7" s="2"/>
    </row>
    <row r="8" spans="1:12" s="18" customFormat="1" ht="47.25" customHeight="1" x14ac:dyDescent="0.25">
      <c r="A8" s="12" t="s">
        <v>325</v>
      </c>
      <c r="B8" s="13"/>
      <c r="C8" s="14" t="s">
        <v>8</v>
      </c>
      <c r="D8" s="15" t="s">
        <v>9</v>
      </c>
      <c r="E8" s="16"/>
      <c r="F8" s="125"/>
      <c r="G8" s="17" t="s">
        <v>10</v>
      </c>
      <c r="H8" s="16"/>
    </row>
    <row r="9" spans="1:12" x14ac:dyDescent="0.25">
      <c r="A9" s="19" t="s">
        <v>11</v>
      </c>
      <c r="B9" s="172" t="s">
        <v>12</v>
      </c>
      <c r="C9" s="173"/>
      <c r="D9" s="174"/>
      <c r="E9" s="2"/>
      <c r="F9" s="20"/>
      <c r="G9" s="21" t="s">
        <v>13</v>
      </c>
      <c r="H9" s="2"/>
    </row>
    <row r="10" spans="1:12" ht="41.25" customHeight="1" x14ac:dyDescent="0.25">
      <c r="A10" s="22">
        <v>1</v>
      </c>
      <c r="B10" s="23" t="s">
        <v>14</v>
      </c>
      <c r="C10" s="24"/>
      <c r="D10" s="100"/>
      <c r="E10" s="2"/>
      <c r="F10" s="25">
        <v>0.1</v>
      </c>
      <c r="G10" s="26">
        <f>C10*(1-F10)^5</f>
        <v>0</v>
      </c>
      <c r="H10" s="2"/>
    </row>
    <row r="11" spans="1:12" ht="30.75" customHeight="1" x14ac:dyDescent="0.25">
      <c r="A11" s="27">
        <v>2</v>
      </c>
      <c r="B11" s="23" t="s">
        <v>15</v>
      </c>
      <c r="C11" s="24"/>
      <c r="D11" s="100"/>
      <c r="E11" s="2"/>
      <c r="F11" s="25">
        <v>0.05</v>
      </c>
      <c r="G11" s="26">
        <f>C11*(1-F11)^5</f>
        <v>0</v>
      </c>
      <c r="H11" s="2"/>
    </row>
    <row r="12" spans="1:12" ht="35.25" customHeight="1" x14ac:dyDescent="0.25">
      <c r="A12" s="27">
        <v>3</v>
      </c>
      <c r="B12" s="23" t="s">
        <v>13</v>
      </c>
      <c r="C12" s="24"/>
      <c r="D12" s="100"/>
      <c r="E12" s="2"/>
      <c r="F12" s="25">
        <v>0.2</v>
      </c>
      <c r="G12" s="26">
        <f>C12*(1-F12)^5</f>
        <v>0</v>
      </c>
      <c r="H12" s="2"/>
    </row>
    <row r="13" spans="1:12" ht="31.5" customHeight="1" x14ac:dyDescent="0.25">
      <c r="A13" s="27">
        <v>4</v>
      </c>
      <c r="B13" s="23" t="s">
        <v>168</v>
      </c>
      <c r="C13" s="24"/>
      <c r="D13" s="100"/>
      <c r="E13" s="2"/>
      <c r="F13" s="25">
        <v>0.2</v>
      </c>
      <c r="G13" s="26">
        <f>C13*(1-F13)^5</f>
        <v>0</v>
      </c>
      <c r="H13" s="2"/>
    </row>
    <row r="14" spans="1:12" x14ac:dyDescent="0.25">
      <c r="A14" s="29"/>
      <c r="B14" s="30"/>
      <c r="C14" s="31">
        <f>SUM(C10:C13)</f>
        <v>0</v>
      </c>
      <c r="D14" s="32"/>
      <c r="E14" s="2"/>
      <c r="F14" s="33"/>
      <c r="G14" s="34" t="s">
        <v>18</v>
      </c>
      <c r="H14" s="2"/>
    </row>
    <row r="15" spans="1:12" x14ac:dyDescent="0.25">
      <c r="A15" s="19" t="s">
        <v>11</v>
      </c>
      <c r="B15" s="177" t="s">
        <v>326</v>
      </c>
      <c r="C15" s="177"/>
      <c r="D15" s="177"/>
      <c r="E15" s="2"/>
      <c r="F15" s="20"/>
      <c r="G15" s="35"/>
      <c r="H15" s="2"/>
    </row>
    <row r="16" spans="1:12" x14ac:dyDescent="0.25">
      <c r="A16" s="22">
        <v>1</v>
      </c>
      <c r="B16" s="23"/>
      <c r="C16" s="24"/>
      <c r="D16" s="23" t="s">
        <v>18</v>
      </c>
      <c r="E16" s="2"/>
      <c r="F16" s="33"/>
      <c r="G16" s="34" t="s">
        <v>18</v>
      </c>
      <c r="H16" s="2"/>
    </row>
    <row r="17" spans="1:15" x14ac:dyDescent="0.25">
      <c r="A17" s="22">
        <v>2</v>
      </c>
      <c r="B17" s="36"/>
      <c r="C17" s="37">
        <f>SUM(C16)</f>
        <v>0</v>
      </c>
      <c r="D17" s="38"/>
      <c r="E17" s="39"/>
      <c r="F17" s="33"/>
      <c r="G17" s="34" t="s">
        <v>18</v>
      </c>
      <c r="H17" s="2"/>
    </row>
    <row r="18" spans="1:15" ht="15.75" customHeight="1" x14ac:dyDescent="0.25">
      <c r="A18" s="19" t="s">
        <v>11</v>
      </c>
      <c r="B18" s="172" t="s">
        <v>22</v>
      </c>
      <c r="C18" s="173"/>
      <c r="D18" s="174"/>
      <c r="E18" s="2"/>
      <c r="F18" s="20"/>
      <c r="G18" s="35"/>
      <c r="H18" s="2"/>
    </row>
    <row r="19" spans="1:15" ht="15.75" customHeight="1" x14ac:dyDescent="0.25">
      <c r="A19" s="22">
        <v>1</v>
      </c>
      <c r="B19" s="23" t="s">
        <v>23</v>
      </c>
      <c r="C19" s="24"/>
      <c r="D19" s="40" t="s">
        <v>18</v>
      </c>
      <c r="E19" s="2"/>
      <c r="F19" s="33"/>
      <c r="G19" s="34" t="s">
        <v>18</v>
      </c>
      <c r="H19" s="2"/>
    </row>
    <row r="20" spans="1:15" ht="17.25" customHeight="1" x14ac:dyDescent="0.25">
      <c r="A20" s="22">
        <v>2</v>
      </c>
      <c r="B20" s="23" t="s">
        <v>24</v>
      </c>
      <c r="C20" s="24"/>
      <c r="D20" s="40" t="s">
        <v>18</v>
      </c>
      <c r="E20" s="2"/>
      <c r="F20" s="33"/>
      <c r="G20" s="34" t="s">
        <v>18</v>
      </c>
      <c r="H20" s="2"/>
    </row>
    <row r="21" spans="1:15" x14ac:dyDescent="0.25">
      <c r="A21" s="165"/>
      <c r="B21" s="166"/>
      <c r="C21" s="41">
        <f>SUM(C19:C20)</f>
        <v>0</v>
      </c>
      <c r="E21" s="42"/>
      <c r="F21" s="33"/>
      <c r="G21" s="43">
        <f>SUM(G10:G20)</f>
        <v>0</v>
      </c>
      <c r="I21" s="2"/>
    </row>
    <row r="22" spans="1:15" x14ac:dyDescent="0.25">
      <c r="A22" s="44"/>
      <c r="B22" s="45" t="s">
        <v>26</v>
      </c>
      <c r="C22" s="46">
        <f>SUM(C14+C17+C21)</f>
        <v>0</v>
      </c>
      <c r="G22" s="2"/>
      <c r="H22" s="2"/>
      <c r="I22" s="2"/>
      <c r="J22" s="2"/>
      <c r="K22" s="2"/>
    </row>
    <row r="23" spans="1:15" x14ac:dyDescent="0.25">
      <c r="A23" s="47"/>
      <c r="B23" s="48"/>
      <c r="C23" s="42"/>
      <c r="D23" s="49"/>
      <c r="E23" s="50"/>
      <c r="F23" s="50"/>
      <c r="G23" s="51"/>
      <c r="H23" s="52"/>
      <c r="I23" s="2"/>
      <c r="J23" s="2"/>
      <c r="K23" s="2"/>
      <c r="L23" s="2"/>
    </row>
    <row r="24" spans="1:15" x14ac:dyDescent="0.25">
      <c r="A24" s="1"/>
      <c r="B24" s="48"/>
      <c r="C24" s="1"/>
      <c r="D24" s="1"/>
      <c r="E24" s="1"/>
      <c r="F24" s="1"/>
      <c r="G24" s="1"/>
      <c r="H24" s="2"/>
      <c r="I24" s="1"/>
      <c r="J24" s="2"/>
      <c r="K24" s="2"/>
      <c r="L24" s="2"/>
    </row>
    <row r="25" spans="1:15" ht="15.75" x14ac:dyDescent="0.25">
      <c r="A25" s="151" t="s">
        <v>27</v>
      </c>
      <c r="B25" s="152"/>
      <c r="C25" s="152"/>
      <c r="D25" s="152"/>
      <c r="E25" s="152"/>
      <c r="F25" s="152"/>
      <c r="G25" s="152"/>
      <c r="H25" s="152"/>
      <c r="I25" s="153"/>
      <c r="J25" s="54"/>
      <c r="K25" s="54"/>
      <c r="L25" s="54"/>
      <c r="M25" s="54"/>
      <c r="N25" s="54"/>
    </row>
    <row r="26" spans="1:15" x14ac:dyDescent="0.25">
      <c r="A26" s="167" t="s">
        <v>11</v>
      </c>
      <c r="B26" s="167" t="s">
        <v>28</v>
      </c>
      <c r="C26" s="167" t="s">
        <v>29</v>
      </c>
      <c r="D26" s="167" t="s">
        <v>118</v>
      </c>
      <c r="E26" s="55" t="s">
        <v>31</v>
      </c>
      <c r="F26" s="56" t="s">
        <v>32</v>
      </c>
      <c r="G26" s="56" t="s">
        <v>33</v>
      </c>
      <c r="H26" s="56" t="s">
        <v>34</v>
      </c>
      <c r="I26" s="56" t="s">
        <v>35</v>
      </c>
      <c r="J26" s="11"/>
      <c r="M26" s="2"/>
      <c r="N26" s="2"/>
    </row>
    <row r="27" spans="1:15" x14ac:dyDescent="0.25">
      <c r="A27" s="168"/>
      <c r="B27" s="168"/>
      <c r="C27" s="168"/>
      <c r="D27" s="168"/>
      <c r="E27" s="169" t="s">
        <v>39</v>
      </c>
      <c r="F27" s="170"/>
      <c r="G27" s="170"/>
      <c r="H27" s="170"/>
      <c r="I27" s="171"/>
      <c r="J27" s="58"/>
      <c r="K27" s="2"/>
      <c r="L27" s="2"/>
    </row>
    <row r="28" spans="1:15" ht="18.75" customHeight="1" x14ac:dyDescent="0.25">
      <c r="A28" s="59">
        <v>1</v>
      </c>
      <c r="B28" s="60"/>
      <c r="C28" s="10"/>
      <c r="D28" s="10"/>
      <c r="E28" s="62">
        <f>C28*D28</f>
        <v>0</v>
      </c>
      <c r="F28" s="63">
        <f>($D28*(1+$G$3))*$C28</f>
        <v>0</v>
      </c>
      <c r="G28" s="63">
        <f t="shared" ref="G28:I31" si="0">(F28*(1+$G$3))</f>
        <v>0</v>
      </c>
      <c r="H28" s="63">
        <f t="shared" si="0"/>
        <v>0</v>
      </c>
      <c r="I28" s="63">
        <f t="shared" si="0"/>
        <v>0</v>
      </c>
      <c r="J28" s="154"/>
      <c r="K28" s="155"/>
      <c r="L28" s="155"/>
      <c r="M28" s="155"/>
      <c r="N28" s="155"/>
      <c r="O28" s="155"/>
    </row>
    <row r="29" spans="1:15" ht="18.75" customHeight="1" x14ac:dyDescent="0.25">
      <c r="A29" s="59">
        <v>2</v>
      </c>
      <c r="B29" s="60"/>
      <c r="C29" s="10"/>
      <c r="D29" s="10"/>
      <c r="E29" s="62">
        <f t="shared" ref="E29:E31" si="1">C29*D29</f>
        <v>0</v>
      </c>
      <c r="F29" s="63">
        <f>($D29*(1+$G$3))*$C29</f>
        <v>0</v>
      </c>
      <c r="G29" s="63">
        <f t="shared" si="0"/>
        <v>0</v>
      </c>
      <c r="H29" s="63">
        <f t="shared" si="0"/>
        <v>0</v>
      </c>
      <c r="I29" s="63">
        <f t="shared" si="0"/>
        <v>0</v>
      </c>
      <c r="J29" s="123"/>
      <c r="K29" s="124"/>
      <c r="L29" s="124"/>
      <c r="M29" s="124"/>
      <c r="N29" s="124"/>
      <c r="O29" s="124"/>
    </row>
    <row r="30" spans="1:15" x14ac:dyDescent="0.25">
      <c r="A30" s="59">
        <v>3</v>
      </c>
      <c r="B30" s="78"/>
      <c r="C30" s="10"/>
      <c r="D30" s="10"/>
      <c r="E30" s="62">
        <f t="shared" si="1"/>
        <v>0</v>
      </c>
      <c r="F30" s="63">
        <f>($D30*(1+$G$3))*$C30</f>
        <v>0</v>
      </c>
      <c r="G30" s="63">
        <f t="shared" si="0"/>
        <v>0</v>
      </c>
      <c r="H30" s="63">
        <f t="shared" si="0"/>
        <v>0</v>
      </c>
      <c r="I30" s="63">
        <f t="shared" si="0"/>
        <v>0</v>
      </c>
      <c r="J30" s="123"/>
      <c r="K30" s="1"/>
      <c r="L30" s="2"/>
      <c r="M30" s="2"/>
      <c r="N30" s="2"/>
    </row>
    <row r="31" spans="1:15" ht="15" customHeight="1" x14ac:dyDescent="0.25">
      <c r="A31" s="107">
        <v>4</v>
      </c>
      <c r="B31" s="60"/>
      <c r="C31" s="10"/>
      <c r="D31" s="10"/>
      <c r="E31" s="62">
        <f t="shared" si="1"/>
        <v>0</v>
      </c>
      <c r="F31" s="63">
        <f>($D31*(1+$G$3))*$C31</f>
        <v>0</v>
      </c>
      <c r="G31" s="63">
        <f t="shared" si="0"/>
        <v>0</v>
      </c>
      <c r="H31" s="63">
        <f t="shared" si="0"/>
        <v>0</v>
      </c>
      <c r="I31" s="63">
        <f t="shared" si="0"/>
        <v>0</v>
      </c>
      <c r="K31" s="66"/>
      <c r="L31" s="66"/>
      <c r="M31" s="2"/>
      <c r="N31" s="2"/>
    </row>
    <row r="32" spans="1:15" ht="15" customHeight="1" x14ac:dyDescent="0.25">
      <c r="A32" s="5"/>
      <c r="B32" s="156" t="s">
        <v>43</v>
      </c>
      <c r="C32" s="157"/>
      <c r="D32" s="158"/>
      <c r="E32" s="46">
        <f>SUM(E28:E31)</f>
        <v>0</v>
      </c>
      <c r="F32" s="46">
        <f>SUM(F28:F31)</f>
        <v>0</v>
      </c>
      <c r="G32" s="46">
        <f t="shared" ref="G32:H32" si="2">SUM(G28:G31)</f>
        <v>0</v>
      </c>
      <c r="H32" s="46">
        <f t="shared" si="2"/>
        <v>0</v>
      </c>
      <c r="I32" s="46">
        <f>SUM(I28:I31)</f>
        <v>0</v>
      </c>
      <c r="J32" s="66"/>
      <c r="K32" s="2"/>
      <c r="L32" s="2"/>
    </row>
    <row r="33" spans="1:14" x14ac:dyDescent="0.25">
      <c r="A33" s="2"/>
      <c r="B33" s="48"/>
      <c r="C33" s="67"/>
      <c r="D33" s="68"/>
      <c r="E33" s="68"/>
      <c r="F33" s="68"/>
      <c r="G33" s="68"/>
      <c r="H33" s="68"/>
      <c r="I33" s="1"/>
      <c r="J33" s="11"/>
      <c r="K33" s="66"/>
      <c r="L33" s="66"/>
      <c r="M33" s="2"/>
      <c r="N33" s="2"/>
    </row>
    <row r="34" spans="1:14" x14ac:dyDescent="0.25">
      <c r="A34" s="2"/>
      <c r="B34" s="69"/>
      <c r="C34" s="67"/>
      <c r="D34" s="68"/>
      <c r="E34" s="68"/>
      <c r="F34" s="68"/>
      <c r="G34" s="68"/>
      <c r="H34" s="68"/>
      <c r="I34" s="1"/>
      <c r="J34" s="11"/>
      <c r="M34" s="2"/>
      <c r="N34" s="2"/>
    </row>
    <row r="35" spans="1:14" ht="15.75" x14ac:dyDescent="0.25">
      <c r="A35" s="159" t="s">
        <v>44</v>
      </c>
      <c r="B35" s="160"/>
      <c r="C35" s="160"/>
      <c r="D35" s="160"/>
      <c r="E35" s="160"/>
      <c r="F35" s="160"/>
      <c r="G35" s="160"/>
      <c r="H35" s="160"/>
      <c r="I35" s="160"/>
      <c r="J35" s="161"/>
      <c r="K35" s="54"/>
      <c r="L35" s="54"/>
      <c r="M35" s="54"/>
      <c r="N35" s="44"/>
    </row>
    <row r="36" spans="1:14" ht="15" customHeight="1" x14ac:dyDescent="0.25">
      <c r="A36" s="56" t="s">
        <v>11</v>
      </c>
      <c r="B36" s="70" t="s">
        <v>325</v>
      </c>
      <c r="C36" s="71" t="s">
        <v>328</v>
      </c>
      <c r="D36" s="71" t="s">
        <v>329</v>
      </c>
      <c r="E36" s="55" t="s">
        <v>31</v>
      </c>
      <c r="F36" s="56" t="s">
        <v>32</v>
      </c>
      <c r="G36" s="56" t="s">
        <v>33</v>
      </c>
      <c r="H36" s="56" t="s">
        <v>34</v>
      </c>
      <c r="I36" s="56" t="s">
        <v>35</v>
      </c>
      <c r="J36" s="14" t="s">
        <v>9</v>
      </c>
    </row>
    <row r="37" spans="1:14" ht="15" customHeight="1" x14ac:dyDescent="0.25">
      <c r="A37" s="101"/>
      <c r="B37" s="162" t="s">
        <v>47</v>
      </c>
      <c r="C37" s="163"/>
      <c r="D37" s="163"/>
      <c r="E37" s="163"/>
      <c r="F37" s="163"/>
      <c r="G37" s="163"/>
      <c r="H37" s="163"/>
      <c r="I37" s="164"/>
      <c r="J37" s="73"/>
    </row>
    <row r="38" spans="1:14" x14ac:dyDescent="0.25">
      <c r="A38" s="59" t="s">
        <v>48</v>
      </c>
      <c r="B38" s="74" t="s">
        <v>149</v>
      </c>
      <c r="C38" s="9"/>
      <c r="D38" s="9"/>
      <c r="E38" s="75">
        <f t="shared" ref="E38:E48" si="3">C38*D38</f>
        <v>0</v>
      </c>
      <c r="F38" s="75">
        <f>E38*(1+$G$3)</f>
        <v>0</v>
      </c>
      <c r="G38" s="75">
        <f>F38*(1+$G$3)</f>
        <v>0</v>
      </c>
      <c r="H38" s="75">
        <f>G38*(1+$G$3)</f>
        <v>0</v>
      </c>
      <c r="I38" s="75">
        <f>H38*(1+$G$3)</f>
        <v>0</v>
      </c>
      <c r="J38" s="10"/>
      <c r="K38" s="2"/>
      <c r="L38" s="2"/>
      <c r="M38" s="2"/>
    </row>
    <row r="39" spans="1:14" x14ac:dyDescent="0.25">
      <c r="A39" s="59" t="s">
        <v>51</v>
      </c>
      <c r="B39" s="74" t="s">
        <v>55</v>
      </c>
      <c r="C39" s="9"/>
      <c r="D39" s="9"/>
      <c r="E39" s="75">
        <f t="shared" si="3"/>
        <v>0</v>
      </c>
      <c r="F39" s="75">
        <f>E39*(1+$G$3)</f>
        <v>0</v>
      </c>
      <c r="G39" s="75">
        <f>F39*(1+$G$3)</f>
        <v>0</v>
      </c>
      <c r="H39" s="75"/>
      <c r="I39" s="75"/>
      <c r="J39" s="10"/>
      <c r="K39" s="2"/>
      <c r="L39" s="2"/>
      <c r="M39" s="2"/>
    </row>
    <row r="40" spans="1:14" x14ac:dyDescent="0.25">
      <c r="A40" s="59" t="s">
        <v>54</v>
      </c>
      <c r="B40" s="60" t="s">
        <v>136</v>
      </c>
      <c r="C40" s="9"/>
      <c r="D40" s="133"/>
      <c r="E40" s="75">
        <f t="shared" si="3"/>
        <v>0</v>
      </c>
      <c r="F40" s="75">
        <f>D40*C40</f>
        <v>0</v>
      </c>
      <c r="G40" s="75">
        <f>F40*(1+$G$3)</f>
        <v>0</v>
      </c>
      <c r="H40" s="75">
        <f>G40*(1+$G$3)</f>
        <v>0</v>
      </c>
      <c r="I40" s="75">
        <f>H40*(1+$G$3)</f>
        <v>0</v>
      </c>
      <c r="J40" s="10"/>
      <c r="K40" s="2"/>
    </row>
    <row r="41" spans="1:14" x14ac:dyDescent="0.25">
      <c r="A41" s="59" t="s">
        <v>57</v>
      </c>
      <c r="B41" s="60"/>
      <c r="C41" s="9"/>
      <c r="D41" s="9"/>
      <c r="E41" s="75">
        <f t="shared" si="3"/>
        <v>0</v>
      </c>
      <c r="F41" s="75">
        <f>D41*C41</f>
        <v>0</v>
      </c>
      <c r="G41" s="75">
        <f>F41*(1+$G$3)</f>
        <v>0</v>
      </c>
      <c r="H41" s="75">
        <f t="shared" ref="H41:I41" si="4">G41</f>
        <v>0</v>
      </c>
      <c r="I41" s="75">
        <f t="shared" si="4"/>
        <v>0</v>
      </c>
      <c r="J41" s="10"/>
      <c r="K41" s="2"/>
    </row>
    <row r="42" spans="1:14" x14ac:dyDescent="0.25">
      <c r="A42" s="56">
        <v>2</v>
      </c>
      <c r="B42" s="140" t="s">
        <v>60</v>
      </c>
      <c r="C42" s="141"/>
      <c r="D42" s="141"/>
      <c r="E42" s="141"/>
      <c r="F42" s="141"/>
      <c r="G42" s="141"/>
      <c r="H42" s="141"/>
      <c r="I42" s="142"/>
      <c r="J42" s="77"/>
      <c r="K42" s="2"/>
    </row>
    <row r="43" spans="1:14" x14ac:dyDescent="0.25">
      <c r="A43" s="59" t="s">
        <v>48</v>
      </c>
      <c r="B43" s="78" t="s">
        <v>61</v>
      </c>
      <c r="C43" s="9"/>
      <c r="D43" s="9"/>
      <c r="E43" s="75">
        <f>C43*D43</f>
        <v>0</v>
      </c>
      <c r="F43" s="75">
        <f>E43*(1+$G$3)</f>
        <v>0</v>
      </c>
      <c r="G43" s="75">
        <f>F43*(1+$G$3)</f>
        <v>0</v>
      </c>
      <c r="H43" s="75">
        <f>G43*(1+$G$3)</f>
        <v>0</v>
      </c>
      <c r="I43" s="75">
        <f>H43*(1+$G$3)</f>
        <v>0</v>
      </c>
      <c r="J43" s="10"/>
      <c r="K43" s="2"/>
    </row>
    <row r="44" spans="1:14" ht="22.5" customHeight="1" x14ac:dyDescent="0.25">
      <c r="A44" s="56" t="s">
        <v>51</v>
      </c>
      <c r="B44" s="74" t="s">
        <v>62</v>
      </c>
      <c r="C44" s="9"/>
      <c r="D44" s="9"/>
      <c r="E44" s="75">
        <f t="shared" ref="E44:E45" si="5">C44*D44</f>
        <v>0</v>
      </c>
      <c r="F44" s="75">
        <f>D44*C44</f>
        <v>0</v>
      </c>
      <c r="G44" s="75">
        <f t="shared" ref="G44:I45" si="6">F44*(1+$G$3)</f>
        <v>0</v>
      </c>
      <c r="H44" s="75">
        <f t="shared" si="6"/>
        <v>0</v>
      </c>
      <c r="I44" s="75">
        <f t="shared" si="6"/>
        <v>0</v>
      </c>
      <c r="J44" s="10"/>
      <c r="K44" s="2"/>
    </row>
    <row r="45" spans="1:14" ht="15.75" customHeight="1" x14ac:dyDescent="0.25">
      <c r="A45" s="56" t="s">
        <v>54</v>
      </c>
      <c r="B45" s="74" t="s">
        <v>154</v>
      </c>
      <c r="C45" s="9"/>
      <c r="D45" s="9"/>
      <c r="E45" s="75">
        <f t="shared" si="5"/>
        <v>0</v>
      </c>
      <c r="F45" s="75">
        <f>D45*C45</f>
        <v>0</v>
      </c>
      <c r="G45" s="75">
        <f t="shared" si="6"/>
        <v>0</v>
      </c>
      <c r="H45" s="75">
        <f t="shared" si="6"/>
        <v>0</v>
      </c>
      <c r="I45" s="75">
        <f t="shared" si="6"/>
        <v>0</v>
      </c>
      <c r="J45" s="10"/>
      <c r="K45" s="2"/>
    </row>
    <row r="46" spans="1:14" x14ac:dyDescent="0.25">
      <c r="A46" s="56">
        <v>3</v>
      </c>
      <c r="B46" s="162" t="s">
        <v>75</v>
      </c>
      <c r="C46" s="163"/>
      <c r="D46" s="163"/>
      <c r="E46" s="163"/>
      <c r="F46" s="163"/>
      <c r="G46" s="163"/>
      <c r="H46" s="163"/>
      <c r="I46" s="164"/>
      <c r="J46" s="77"/>
      <c r="K46" s="2"/>
    </row>
    <row r="47" spans="1:14" ht="31.5" customHeight="1" x14ac:dyDescent="0.25">
      <c r="A47" s="59" t="s">
        <v>48</v>
      </c>
      <c r="B47" s="78" t="s">
        <v>321</v>
      </c>
      <c r="C47" s="9"/>
      <c r="D47" s="9"/>
      <c r="E47" s="75">
        <f t="shared" si="3"/>
        <v>0</v>
      </c>
      <c r="F47" s="75">
        <f t="shared" ref="F47:I48" si="7">E47*(1+$G$3)</f>
        <v>0</v>
      </c>
      <c r="G47" s="75">
        <f t="shared" si="7"/>
        <v>0</v>
      </c>
      <c r="H47" s="75">
        <f t="shared" si="7"/>
        <v>0</v>
      </c>
      <c r="I47" s="75">
        <f t="shared" si="7"/>
        <v>0</v>
      </c>
      <c r="J47" s="10"/>
      <c r="K47" s="2"/>
    </row>
    <row r="48" spans="1:14" ht="31.5" customHeight="1" x14ac:dyDescent="0.25">
      <c r="A48" s="59" t="s">
        <v>51</v>
      </c>
      <c r="B48" s="78" t="s">
        <v>77</v>
      </c>
      <c r="C48" s="9"/>
      <c r="D48" s="9"/>
      <c r="E48" s="75">
        <f t="shared" si="3"/>
        <v>0</v>
      </c>
      <c r="F48" s="75">
        <f t="shared" si="7"/>
        <v>0</v>
      </c>
      <c r="G48" s="75">
        <f t="shared" si="7"/>
        <v>0</v>
      </c>
      <c r="H48" s="75">
        <f t="shared" si="7"/>
        <v>0</v>
      </c>
      <c r="I48" s="75">
        <f t="shared" si="7"/>
        <v>0</v>
      </c>
      <c r="J48" s="10"/>
      <c r="K48" s="2"/>
    </row>
    <row r="49" spans="1:12" x14ac:dyDescent="0.25">
      <c r="A49" s="56"/>
      <c r="B49" s="70" t="s">
        <v>79</v>
      </c>
      <c r="C49" s="70"/>
      <c r="D49" s="70"/>
      <c r="E49" s="46">
        <f>SUM(E38:E48)</f>
        <v>0</v>
      </c>
      <c r="F49" s="46">
        <f>SUM(F38:F48)</f>
        <v>0</v>
      </c>
      <c r="G49" s="46">
        <f t="shared" ref="G49:I49" si="8">SUM(G38:G48)</f>
        <v>0</v>
      </c>
      <c r="H49" s="46">
        <f t="shared" si="8"/>
        <v>0</v>
      </c>
      <c r="I49" s="46">
        <f t="shared" si="8"/>
        <v>0</v>
      </c>
      <c r="J49" s="80"/>
      <c r="K49" s="2"/>
    </row>
    <row r="50" spans="1:12" x14ac:dyDescent="0.25">
      <c r="A50" s="2"/>
      <c r="B50" s="48"/>
      <c r="C50" s="1"/>
      <c r="D50" s="1"/>
      <c r="E50" s="11"/>
      <c r="F50" s="1"/>
      <c r="G50" s="1"/>
      <c r="H50" s="1"/>
      <c r="I50" s="1"/>
      <c r="J50" s="1"/>
      <c r="K50" s="2"/>
      <c r="L50" s="2"/>
    </row>
    <row r="51" spans="1:12" x14ac:dyDescent="0.25">
      <c r="A51" s="2"/>
      <c r="B51" s="2"/>
      <c r="C51" s="81"/>
      <c r="D51" s="2"/>
      <c r="E51" s="2"/>
      <c r="F51" s="2"/>
      <c r="G51" s="2"/>
      <c r="H51" s="2"/>
      <c r="I51" s="2"/>
      <c r="J51" s="2"/>
      <c r="K51" s="2"/>
      <c r="L51" s="2"/>
    </row>
    <row r="52" spans="1:12" x14ac:dyDescent="0.25">
      <c r="A52" s="2"/>
      <c r="B52" s="2"/>
      <c r="C52" s="81"/>
      <c r="D52" s="2"/>
      <c r="E52" s="2"/>
      <c r="F52" s="2"/>
      <c r="G52" s="2"/>
      <c r="H52" s="2"/>
      <c r="I52" s="2"/>
      <c r="J52" s="2"/>
      <c r="K52" s="2"/>
      <c r="L52" s="2"/>
    </row>
    <row r="53" spans="1:12" ht="15.75" x14ac:dyDescent="0.25">
      <c r="A53" s="151" t="s">
        <v>80</v>
      </c>
      <c r="B53" s="152"/>
      <c r="C53" s="152"/>
      <c r="D53" s="152"/>
      <c r="E53" s="152"/>
      <c r="F53" s="152"/>
      <c r="G53" s="152"/>
      <c r="H53" s="153"/>
      <c r="I53" s="2"/>
      <c r="J53" s="2"/>
      <c r="K53" s="2"/>
      <c r="L53" s="2"/>
    </row>
    <row r="54" spans="1:12" x14ac:dyDescent="0.25">
      <c r="A54" s="56" t="s">
        <v>11</v>
      </c>
      <c r="B54" s="82" t="s">
        <v>81</v>
      </c>
      <c r="C54" s="83" t="s">
        <v>82</v>
      </c>
      <c r="D54" s="84" t="s">
        <v>31</v>
      </c>
      <c r="E54" s="84" t="s">
        <v>32</v>
      </c>
      <c r="F54" s="84" t="s">
        <v>33</v>
      </c>
      <c r="G54" s="84" t="s">
        <v>34</v>
      </c>
      <c r="H54" s="84" t="s">
        <v>35</v>
      </c>
      <c r="I54" s="85"/>
      <c r="J54" s="85"/>
      <c r="K54" s="2"/>
      <c r="L54" s="2"/>
    </row>
    <row r="55" spans="1:12" x14ac:dyDescent="0.25">
      <c r="A55" s="59">
        <v>1</v>
      </c>
      <c r="B55" s="86" t="s">
        <v>83</v>
      </c>
      <c r="C55" s="87"/>
      <c r="D55" s="87">
        <f>E32</f>
        <v>0</v>
      </c>
      <c r="E55" s="87">
        <f>F32</f>
        <v>0</v>
      </c>
      <c r="F55" s="87">
        <f>G32</f>
        <v>0</v>
      </c>
      <c r="G55" s="87">
        <f>H32</f>
        <v>0</v>
      </c>
      <c r="H55" s="87">
        <f>I32</f>
        <v>0</v>
      </c>
      <c r="I55" s="88"/>
      <c r="J55" s="88"/>
      <c r="K55" s="2"/>
      <c r="L55" s="2"/>
    </row>
    <row r="56" spans="1:12" x14ac:dyDescent="0.25">
      <c r="A56" s="59">
        <v>2</v>
      </c>
      <c r="B56" s="86" t="s">
        <v>84</v>
      </c>
      <c r="C56" s="89"/>
      <c r="D56" s="87">
        <f>E49</f>
        <v>0</v>
      </c>
      <c r="E56" s="87">
        <f>F49</f>
        <v>0</v>
      </c>
      <c r="F56" s="87">
        <f>G49</f>
        <v>0</v>
      </c>
      <c r="G56" s="87">
        <f>H49</f>
        <v>0</v>
      </c>
      <c r="H56" s="87">
        <f>I49</f>
        <v>0</v>
      </c>
      <c r="I56" s="88"/>
      <c r="J56" s="88"/>
      <c r="K56" s="2"/>
      <c r="L56" s="2"/>
    </row>
    <row r="57" spans="1:12" x14ac:dyDescent="0.25">
      <c r="A57" s="59">
        <v>3</v>
      </c>
      <c r="B57" s="86" t="s">
        <v>85</v>
      </c>
      <c r="C57" s="89">
        <f>C22</f>
        <v>0</v>
      </c>
      <c r="D57" s="87"/>
      <c r="E57" s="87"/>
      <c r="F57" s="87"/>
      <c r="G57" s="87"/>
      <c r="H57" s="87"/>
      <c r="I57" s="88"/>
      <c r="J57" s="88"/>
      <c r="K57" s="2"/>
      <c r="L57" s="2"/>
    </row>
    <row r="58" spans="1:12" x14ac:dyDescent="0.25">
      <c r="A58" s="59">
        <v>5</v>
      </c>
      <c r="B58" s="86" t="s">
        <v>134</v>
      </c>
      <c r="C58" s="89">
        <f>-SUM(E43:E45)/2</f>
        <v>0</v>
      </c>
      <c r="D58" s="87"/>
      <c r="E58" s="87"/>
      <c r="F58" s="87"/>
      <c r="G58" s="87"/>
      <c r="H58" s="87">
        <f>-C58</f>
        <v>0</v>
      </c>
      <c r="I58" s="88"/>
      <c r="J58" s="88"/>
      <c r="K58" s="2"/>
      <c r="L58" s="2"/>
    </row>
    <row r="59" spans="1:12" x14ac:dyDescent="0.25">
      <c r="A59" s="59">
        <v>6</v>
      </c>
      <c r="B59" s="86" t="s">
        <v>87</v>
      </c>
      <c r="C59" s="89"/>
      <c r="D59" s="87"/>
      <c r="E59" s="87"/>
      <c r="F59" s="87"/>
      <c r="G59" s="87"/>
      <c r="H59" s="102">
        <f>G21</f>
        <v>0</v>
      </c>
      <c r="I59" s="88"/>
      <c r="J59" s="88"/>
      <c r="K59" s="2"/>
      <c r="L59" s="2"/>
    </row>
    <row r="60" spans="1:12" x14ac:dyDescent="0.25">
      <c r="A60" s="59"/>
      <c r="B60" s="86" t="s">
        <v>89</v>
      </c>
      <c r="C60" s="89">
        <f>-SUM(C57)+C58</f>
        <v>0</v>
      </c>
      <c r="D60" s="87">
        <f>SUM(D55-D56-D57+D59)</f>
        <v>0</v>
      </c>
      <c r="E60" s="87">
        <f>SUM(E55-E56-E57+E59)</f>
        <v>0</v>
      </c>
      <c r="F60" s="87">
        <f>SUM(F55-F56-F57+F59)</f>
        <v>0</v>
      </c>
      <c r="G60" s="87">
        <f>SUM(G55-G56-G57+G59)</f>
        <v>0</v>
      </c>
      <c r="H60" s="87">
        <f>SUM(H55-H56-H57+H59)</f>
        <v>0</v>
      </c>
      <c r="I60" s="88"/>
      <c r="J60" s="88"/>
      <c r="K60" s="2"/>
      <c r="L60" s="2"/>
    </row>
    <row r="61" spans="1:12" x14ac:dyDescent="0.25">
      <c r="A61" s="2" t="s">
        <v>160</v>
      </c>
      <c r="B61" s="108"/>
      <c r="C61" s="108"/>
      <c r="D61" s="108"/>
      <c r="E61" s="108"/>
      <c r="F61" s="108"/>
      <c r="G61" s="108"/>
      <c r="H61" s="108"/>
      <c r="I61" s="68"/>
      <c r="J61" s="68"/>
      <c r="K61" s="2"/>
      <c r="L61" s="2"/>
    </row>
    <row r="62" spans="1:12" x14ac:dyDescent="0.25">
      <c r="A62" s="2"/>
      <c r="B62" s="2"/>
      <c r="C62" s="2"/>
      <c r="D62" s="2"/>
      <c r="E62" s="2"/>
      <c r="F62" s="2"/>
      <c r="G62" s="2"/>
      <c r="H62" s="2"/>
      <c r="I62" s="68"/>
      <c r="J62" s="68"/>
      <c r="K62" s="2"/>
      <c r="L62" s="2"/>
    </row>
    <row r="63" spans="1:12" x14ac:dyDescent="0.25">
      <c r="A63" s="2"/>
      <c r="B63" s="2"/>
      <c r="C63" s="2"/>
      <c r="D63" s="2"/>
      <c r="E63" s="2"/>
      <c r="F63" s="2"/>
      <c r="G63" s="2"/>
      <c r="H63" s="2"/>
      <c r="I63" s="68"/>
      <c r="J63" s="68"/>
      <c r="K63" s="2"/>
      <c r="L63" s="2"/>
    </row>
    <row r="64" spans="1:12" ht="15.75" x14ac:dyDescent="0.25">
      <c r="A64" s="151" t="s">
        <v>327</v>
      </c>
      <c r="B64" s="152"/>
      <c r="C64" s="153"/>
      <c r="D64" s="2"/>
      <c r="E64" s="2"/>
      <c r="F64" s="2"/>
      <c r="G64" s="2"/>
      <c r="H64" s="2"/>
    </row>
    <row r="65" spans="1:12" x14ac:dyDescent="0.25">
      <c r="A65" s="91" t="s">
        <v>11</v>
      </c>
      <c r="B65" s="92" t="s">
        <v>91</v>
      </c>
      <c r="C65" s="92" t="s">
        <v>92</v>
      </c>
      <c r="D65" s="2"/>
      <c r="E65" s="2"/>
      <c r="F65" s="2"/>
      <c r="G65" s="85"/>
      <c r="H65" s="85"/>
    </row>
    <row r="66" spans="1:12" ht="25.5" x14ac:dyDescent="0.25">
      <c r="A66" s="93">
        <v>1</v>
      </c>
      <c r="B66" s="94" t="s">
        <v>93</v>
      </c>
      <c r="C66" s="95">
        <f>NPV(C70,D60:H60)+C60</f>
        <v>0</v>
      </c>
      <c r="G66" s="88"/>
      <c r="H66" s="88"/>
    </row>
    <row r="67" spans="1:12" ht="25.5" x14ac:dyDescent="0.25">
      <c r="A67" s="93">
        <v>2</v>
      </c>
      <c r="B67" s="94" t="s">
        <v>228</v>
      </c>
      <c r="C67" s="95">
        <f>NPV(C70,D60:H60)</f>
        <v>0</v>
      </c>
      <c r="G67" s="88"/>
      <c r="H67" s="88"/>
    </row>
    <row r="68" spans="1:12" x14ac:dyDescent="0.25">
      <c r="A68" s="93">
        <v>3</v>
      </c>
      <c r="B68" s="96" t="s">
        <v>322</v>
      </c>
      <c r="C68" s="97" t="e">
        <f>IRR(C60:H60)</f>
        <v>#NUM!</v>
      </c>
      <c r="G68" s="88"/>
      <c r="H68" s="88"/>
    </row>
    <row r="69" spans="1:12" x14ac:dyDescent="0.25">
      <c r="A69" s="2"/>
      <c r="B69" s="2"/>
      <c r="C69" s="2"/>
      <c r="G69" s="88"/>
      <c r="H69" s="88"/>
    </row>
    <row r="70" spans="1:12" x14ac:dyDescent="0.25">
      <c r="A70" s="2"/>
      <c r="B70" s="98" t="s">
        <v>94</v>
      </c>
      <c r="C70" s="99">
        <v>0.1</v>
      </c>
      <c r="K70" s="68"/>
      <c r="L70" s="68"/>
    </row>
    <row r="73" spans="1:12" ht="39" customHeight="1" x14ac:dyDescent="0.25">
      <c r="A73" s="145" t="s">
        <v>364</v>
      </c>
      <c r="B73" s="146"/>
      <c r="C73" s="143" t="s">
        <v>369</v>
      </c>
      <c r="D73" s="149" t="s">
        <v>370</v>
      </c>
      <c r="E73" s="150"/>
      <c r="F73" s="137" t="s">
        <v>371</v>
      </c>
    </row>
    <row r="74" spans="1:12" ht="33" customHeight="1" x14ac:dyDescent="0.25">
      <c r="A74" s="147"/>
      <c r="B74" s="148"/>
      <c r="C74" s="144"/>
      <c r="D74" s="137" t="s">
        <v>367</v>
      </c>
      <c r="E74" s="136" t="s">
        <v>368</v>
      </c>
      <c r="F74" s="137" t="s">
        <v>368</v>
      </c>
    </row>
    <row r="75" spans="1:12" x14ac:dyDescent="0.25">
      <c r="A75" s="56" t="s">
        <v>366</v>
      </c>
      <c r="B75" s="140" t="s">
        <v>6</v>
      </c>
      <c r="C75" s="141"/>
      <c r="D75" s="141"/>
      <c r="E75" s="141"/>
      <c r="F75" s="142"/>
      <c r="K75" s="2"/>
    </row>
    <row r="76" spans="1:12" x14ac:dyDescent="0.25">
      <c r="A76" s="22">
        <v>1</v>
      </c>
      <c r="B76" s="23" t="s">
        <v>366</v>
      </c>
      <c r="C76" s="24"/>
      <c r="D76" s="24"/>
      <c r="E76" s="24"/>
      <c r="F76" s="24"/>
    </row>
    <row r="77" spans="1:12" x14ac:dyDescent="0.25">
      <c r="A77" s="27">
        <v>2</v>
      </c>
      <c r="B77" s="23" t="s">
        <v>366</v>
      </c>
      <c r="C77" s="24"/>
      <c r="D77" s="24"/>
      <c r="E77" s="24"/>
      <c r="F77" s="24"/>
    </row>
    <row r="78" spans="1:12" ht="14.25" customHeight="1" x14ac:dyDescent="0.25">
      <c r="A78" s="27">
        <v>3</v>
      </c>
      <c r="B78" s="23" t="s">
        <v>366</v>
      </c>
      <c r="C78" s="24"/>
      <c r="D78" s="24"/>
      <c r="E78" s="24"/>
      <c r="F78" s="24"/>
    </row>
    <row r="79" spans="1:12" x14ac:dyDescent="0.25">
      <c r="A79" s="27">
        <v>4</v>
      </c>
      <c r="B79" s="23" t="s">
        <v>366</v>
      </c>
      <c r="C79" s="24"/>
      <c r="D79" s="24"/>
      <c r="E79" s="24"/>
      <c r="F79" s="24"/>
    </row>
    <row r="80" spans="1:12" x14ac:dyDescent="0.25">
      <c r="A80" s="56" t="s">
        <v>366</v>
      </c>
      <c r="B80" s="140" t="s">
        <v>372</v>
      </c>
      <c r="C80" s="141"/>
      <c r="D80" s="141"/>
      <c r="E80" s="141"/>
      <c r="F80" s="142"/>
      <c r="K80" s="2"/>
    </row>
    <row r="81" spans="1:11" x14ac:dyDescent="0.25">
      <c r="A81" s="22">
        <v>1</v>
      </c>
      <c r="B81" s="23" t="s">
        <v>366</v>
      </c>
      <c r="C81" s="24"/>
      <c r="D81" s="24"/>
      <c r="E81" s="24"/>
      <c r="F81" s="24"/>
    </row>
    <row r="82" spans="1:11" x14ac:dyDescent="0.25">
      <c r="A82" s="27">
        <v>2</v>
      </c>
      <c r="B82" s="23" t="s">
        <v>366</v>
      </c>
      <c r="C82" s="24"/>
      <c r="D82" s="24"/>
      <c r="E82" s="24"/>
      <c r="F82" s="24"/>
    </row>
    <row r="83" spans="1:11" ht="14.25" customHeight="1" x14ac:dyDescent="0.25">
      <c r="A83" s="27">
        <v>3</v>
      </c>
      <c r="B83" s="23" t="s">
        <v>366</v>
      </c>
      <c r="C83" s="24"/>
      <c r="D83" s="24"/>
      <c r="E83" s="24"/>
      <c r="F83" s="24"/>
    </row>
    <row r="84" spans="1:11" x14ac:dyDescent="0.25">
      <c r="A84" s="27">
        <v>4</v>
      </c>
      <c r="B84" s="23" t="s">
        <v>366</v>
      </c>
      <c r="C84" s="24"/>
      <c r="D84" s="24"/>
      <c r="E84" s="24"/>
      <c r="F84" s="24"/>
    </row>
    <row r="85" spans="1:11" x14ac:dyDescent="0.25">
      <c r="A85" s="56" t="s">
        <v>366</v>
      </c>
      <c r="B85" s="140" t="s">
        <v>373</v>
      </c>
      <c r="C85" s="141"/>
      <c r="D85" s="141"/>
      <c r="E85" s="141"/>
      <c r="F85" s="142"/>
      <c r="K85" s="2"/>
    </row>
    <row r="86" spans="1:11" x14ac:dyDescent="0.25">
      <c r="A86" s="22">
        <v>1</v>
      </c>
      <c r="B86" s="23" t="s">
        <v>366</v>
      </c>
      <c r="C86" s="24"/>
      <c r="D86" s="24"/>
      <c r="E86" s="24"/>
      <c r="F86" s="24"/>
    </row>
    <row r="87" spans="1:11" x14ac:dyDescent="0.25">
      <c r="A87" s="27">
        <v>2</v>
      </c>
      <c r="B87" s="23" t="s">
        <v>366</v>
      </c>
      <c r="C87" s="24"/>
      <c r="D87" s="24"/>
      <c r="E87" s="24"/>
      <c r="F87" s="24"/>
    </row>
    <row r="88" spans="1:11" ht="14.25" customHeight="1" x14ac:dyDescent="0.25">
      <c r="A88" s="27">
        <v>3</v>
      </c>
      <c r="B88" s="23" t="s">
        <v>366</v>
      </c>
      <c r="C88" s="24"/>
      <c r="D88" s="24"/>
      <c r="E88" s="24"/>
      <c r="F88" s="24"/>
    </row>
    <row r="89" spans="1:11" x14ac:dyDescent="0.25">
      <c r="A89" s="27">
        <v>4</v>
      </c>
      <c r="B89" s="23" t="s">
        <v>366</v>
      </c>
      <c r="C89" s="24"/>
      <c r="D89" s="24"/>
      <c r="E89" s="24"/>
      <c r="F89" s="24"/>
    </row>
    <row r="90" spans="1:11" x14ac:dyDescent="0.25">
      <c r="A90" s="56" t="s">
        <v>366</v>
      </c>
      <c r="B90" s="140" t="s">
        <v>374</v>
      </c>
      <c r="C90" s="141"/>
      <c r="D90" s="141"/>
      <c r="E90" s="141"/>
      <c r="F90" s="142"/>
      <c r="K90" s="2"/>
    </row>
    <row r="91" spans="1:11" x14ac:dyDescent="0.25">
      <c r="A91" s="22">
        <v>1</v>
      </c>
      <c r="B91" s="23" t="s">
        <v>366</v>
      </c>
      <c r="C91" s="24"/>
      <c r="D91" s="24"/>
      <c r="E91" s="24"/>
      <c r="F91" s="24"/>
    </row>
    <row r="92" spans="1:11" x14ac:dyDescent="0.25">
      <c r="A92" s="27">
        <v>2</v>
      </c>
      <c r="B92" s="23" t="s">
        <v>366</v>
      </c>
      <c r="C92" s="24"/>
      <c r="D92" s="24"/>
      <c r="E92" s="24"/>
      <c r="F92" s="24"/>
    </row>
    <row r="93" spans="1:11" ht="14.25" customHeight="1" x14ac:dyDescent="0.25">
      <c r="A93" s="27">
        <v>3</v>
      </c>
      <c r="B93" s="23" t="s">
        <v>366</v>
      </c>
      <c r="C93" s="24"/>
      <c r="D93" s="24"/>
      <c r="E93" s="24"/>
      <c r="F93" s="24"/>
    </row>
    <row r="94" spans="1:11" x14ac:dyDescent="0.25">
      <c r="A94" s="27">
        <v>4</v>
      </c>
      <c r="B94" s="23" t="s">
        <v>366</v>
      </c>
      <c r="C94" s="24"/>
      <c r="D94" s="24"/>
      <c r="E94" s="24"/>
      <c r="F94" s="24"/>
    </row>
    <row r="95" spans="1:11" x14ac:dyDescent="0.25">
      <c r="A95" s="44"/>
      <c r="B95" s="134" t="s">
        <v>365</v>
      </c>
      <c r="C95" s="135"/>
      <c r="D95" s="137"/>
      <c r="E95" s="136"/>
      <c r="F95" s="137"/>
    </row>
    <row r="96" spans="1:11" x14ac:dyDescent="0.25">
      <c r="B96" s="134" t="s">
        <v>365</v>
      </c>
      <c r="C96" s="138">
        <v>1</v>
      </c>
      <c r="D96" s="139" t="e">
        <f>D95/$C$95</f>
        <v>#DIV/0!</v>
      </c>
      <c r="E96" s="139" t="e">
        <f t="shared" ref="E96:F96" si="9">E95/$C$95</f>
        <v>#DIV/0!</v>
      </c>
      <c r="F96" s="139" t="e">
        <f t="shared" si="9"/>
        <v>#DIV/0!</v>
      </c>
    </row>
  </sheetData>
  <mergeCells count="28">
    <mergeCell ref="B18:D18"/>
    <mergeCell ref="A1:H1"/>
    <mergeCell ref="A7:D7"/>
    <mergeCell ref="F7:G7"/>
    <mergeCell ref="B9:D9"/>
    <mergeCell ref="B15:D15"/>
    <mergeCell ref="A21:B21"/>
    <mergeCell ref="A25:I25"/>
    <mergeCell ref="A26:A27"/>
    <mergeCell ref="B26:B27"/>
    <mergeCell ref="C26:C27"/>
    <mergeCell ref="D26:D27"/>
    <mergeCell ref="E27:I27"/>
    <mergeCell ref="A53:H53"/>
    <mergeCell ref="A64:C64"/>
    <mergeCell ref="J28:O28"/>
    <mergeCell ref="B32:D32"/>
    <mergeCell ref="A35:J35"/>
    <mergeCell ref="B37:I37"/>
    <mergeCell ref="B42:I42"/>
    <mergeCell ref="B46:I46"/>
    <mergeCell ref="B75:F75"/>
    <mergeCell ref="B80:F80"/>
    <mergeCell ref="B85:F85"/>
    <mergeCell ref="B90:F90"/>
    <mergeCell ref="C73:C74"/>
    <mergeCell ref="A73:B74"/>
    <mergeCell ref="D73:E7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74"/>
  <sheetViews>
    <sheetView showGridLines="0" topLeftCell="A62" workbookViewId="0">
      <selection activeCell="B72" sqref="B72"/>
    </sheetView>
  </sheetViews>
  <sheetFormatPr baseColWidth="10" defaultRowHeight="15" x14ac:dyDescent="0.25"/>
  <cols>
    <col min="2" max="2" width="31.7109375" customWidth="1"/>
    <col min="3" max="3" width="17" customWidth="1"/>
    <col min="4" max="4" width="42.42578125" customWidth="1"/>
    <col min="5" max="5" width="19.42578125" customWidth="1"/>
    <col min="6" max="6" width="17.7109375" customWidth="1"/>
    <col min="7" max="7" width="22.28515625" customWidth="1"/>
    <col min="8" max="8" width="15.42578125" customWidth="1"/>
    <col min="9" max="9" width="16.85546875" customWidth="1"/>
    <col min="10" max="10" width="47.42578125" customWidth="1"/>
  </cols>
  <sheetData>
    <row r="1" spans="1:15" ht="21" x14ac:dyDescent="0.25">
      <c r="A1" s="175" t="s">
        <v>165</v>
      </c>
      <c r="B1" s="175"/>
      <c r="C1" s="175"/>
      <c r="D1" s="175"/>
      <c r="E1" s="175"/>
      <c r="F1" s="175"/>
      <c r="G1" s="175"/>
      <c r="H1" s="175"/>
      <c r="I1" s="1"/>
      <c r="J1" s="2"/>
      <c r="K1" s="2"/>
      <c r="L1" s="2"/>
      <c r="M1" s="3"/>
      <c r="N1" s="3"/>
      <c r="O1" s="3"/>
    </row>
    <row r="2" spans="1:15" ht="21" x14ac:dyDescent="0.25">
      <c r="A2" s="1"/>
      <c r="B2" s="4"/>
      <c r="C2" s="5" t="s">
        <v>1</v>
      </c>
      <c r="D2" s="1"/>
      <c r="E2" s="1"/>
      <c r="F2" s="3"/>
      <c r="G2" s="3"/>
      <c r="H2" s="1"/>
      <c r="I2" s="1"/>
      <c r="J2" s="2"/>
      <c r="K2" s="2"/>
      <c r="L2" s="2"/>
      <c r="M2" s="3"/>
      <c r="N2" s="3"/>
      <c r="O2" s="3"/>
    </row>
    <row r="3" spans="1:15" x14ac:dyDescent="0.25">
      <c r="A3" s="1"/>
      <c r="B3" s="5"/>
      <c r="C3" s="6"/>
      <c r="D3" s="5" t="s">
        <v>2</v>
      </c>
      <c r="E3" s="3"/>
      <c r="F3" s="7" t="s">
        <v>3</v>
      </c>
      <c r="G3" s="8">
        <v>3.5000000000000003E-2</v>
      </c>
      <c r="H3" s="3"/>
      <c r="I3" s="3"/>
      <c r="J3" s="2"/>
      <c r="K3" s="2"/>
      <c r="L3" s="2"/>
      <c r="M3" s="3"/>
      <c r="N3" s="3"/>
      <c r="O3" s="3"/>
    </row>
    <row r="4" spans="1:15" x14ac:dyDescent="0.25">
      <c r="A4" s="1"/>
      <c r="B4" s="5"/>
      <c r="C4" s="9"/>
      <c r="D4" s="5" t="s">
        <v>4</v>
      </c>
      <c r="E4" s="3"/>
      <c r="F4" s="1"/>
      <c r="G4" s="1"/>
      <c r="H4" s="3"/>
      <c r="I4" s="3"/>
      <c r="J4" s="2"/>
      <c r="K4" s="2"/>
      <c r="L4" s="2"/>
      <c r="M4" s="3"/>
      <c r="N4" s="3"/>
      <c r="O4" s="3"/>
    </row>
    <row r="5" spans="1:15" x14ac:dyDescent="0.25">
      <c r="A5" s="1"/>
      <c r="B5" s="5"/>
      <c r="C5" s="10"/>
      <c r="D5" s="5" t="s">
        <v>5</v>
      </c>
      <c r="E5" s="1"/>
      <c r="F5" s="3"/>
      <c r="G5" s="3"/>
      <c r="H5" s="1"/>
      <c r="I5" s="1"/>
      <c r="J5" s="2"/>
      <c r="K5" s="2"/>
      <c r="L5" s="2"/>
      <c r="M5" s="3"/>
      <c r="N5" s="3"/>
      <c r="O5" s="3"/>
    </row>
    <row r="6" spans="1:15" x14ac:dyDescent="0.25">
      <c r="A6" s="1"/>
      <c r="B6" s="5"/>
      <c r="C6" s="1"/>
      <c r="D6" s="1"/>
      <c r="E6" s="1"/>
      <c r="F6" s="11"/>
      <c r="G6" s="5"/>
      <c r="H6" s="1"/>
      <c r="I6" s="1"/>
      <c r="J6" s="2"/>
      <c r="K6" s="2"/>
      <c r="L6" s="2"/>
      <c r="M6" s="3"/>
      <c r="N6" s="3"/>
      <c r="O6" s="3"/>
    </row>
    <row r="7" spans="1:15" ht="15.75" x14ac:dyDescent="0.25">
      <c r="A7" s="182" t="s">
        <v>6</v>
      </c>
      <c r="B7" s="183"/>
      <c r="C7" s="183"/>
      <c r="D7" s="184"/>
      <c r="E7" s="1"/>
      <c r="F7" s="176"/>
      <c r="G7" s="176"/>
      <c r="H7" s="2"/>
      <c r="I7" s="3"/>
      <c r="J7" s="3"/>
      <c r="K7" s="3"/>
      <c r="L7" s="3"/>
      <c r="M7" s="3"/>
      <c r="N7" s="3"/>
      <c r="O7" s="3"/>
    </row>
    <row r="8" spans="1:15" ht="30" x14ac:dyDescent="0.25">
      <c r="A8" s="12" t="s">
        <v>7</v>
      </c>
      <c r="B8" s="13"/>
      <c r="C8" s="14" t="s">
        <v>8</v>
      </c>
      <c r="D8" s="15" t="s">
        <v>9</v>
      </c>
      <c r="E8" s="16"/>
      <c r="F8" s="105" t="s">
        <v>104</v>
      </c>
      <c r="G8" s="17" t="s">
        <v>10</v>
      </c>
      <c r="H8" s="16"/>
      <c r="I8" s="18"/>
      <c r="J8" s="18"/>
      <c r="K8" s="18"/>
      <c r="L8" s="18"/>
      <c r="M8" s="18"/>
      <c r="N8" s="18"/>
      <c r="O8" s="18"/>
    </row>
    <row r="9" spans="1:15" x14ac:dyDescent="0.25">
      <c r="A9" s="19" t="s">
        <v>11</v>
      </c>
      <c r="B9" s="172" t="s">
        <v>12</v>
      </c>
      <c r="C9" s="173"/>
      <c r="D9" s="174"/>
      <c r="E9" s="2"/>
      <c r="F9" s="20"/>
      <c r="G9" s="21" t="s">
        <v>13</v>
      </c>
      <c r="H9" s="2"/>
      <c r="I9" s="3"/>
      <c r="J9" s="3"/>
      <c r="K9" s="3"/>
      <c r="L9" s="3"/>
      <c r="M9" s="3"/>
      <c r="N9" s="3"/>
      <c r="O9" s="3"/>
    </row>
    <row r="10" spans="1:15" ht="38.25" x14ac:dyDescent="0.25">
      <c r="A10" s="22">
        <v>1</v>
      </c>
      <c r="B10" s="23" t="s">
        <v>14</v>
      </c>
      <c r="C10" s="24">
        <v>83883380</v>
      </c>
      <c r="D10" s="23" t="s">
        <v>166</v>
      </c>
      <c r="E10" s="111"/>
      <c r="F10" s="25">
        <v>0.1</v>
      </c>
      <c r="G10" s="26">
        <f>C10*(1-F10)^5</f>
        <v>49532297.056200013</v>
      </c>
      <c r="H10" s="2"/>
      <c r="I10" s="3"/>
      <c r="J10" s="3"/>
      <c r="K10" s="3"/>
      <c r="L10" s="3"/>
      <c r="M10" s="3"/>
      <c r="N10" s="3"/>
      <c r="O10" s="3"/>
    </row>
    <row r="11" spans="1:15" ht="63.75" x14ac:dyDescent="0.25">
      <c r="A11" s="27">
        <v>2</v>
      </c>
      <c r="B11" s="23" t="s">
        <v>15</v>
      </c>
      <c r="C11" s="24">
        <f>80491704+8095000+8570000+7212000</f>
        <v>104368704</v>
      </c>
      <c r="D11" s="23" t="s">
        <v>167</v>
      </c>
      <c r="E11" s="111"/>
      <c r="F11" s="25">
        <v>0.05</v>
      </c>
      <c r="G11" s="26">
        <f>C11*(1-F11)^5</f>
        <v>80758513.626780003</v>
      </c>
      <c r="H11" s="2"/>
      <c r="I11" s="3"/>
      <c r="J11" s="3"/>
      <c r="K11" s="3"/>
      <c r="L11" s="3"/>
      <c r="M11" s="3"/>
      <c r="N11" s="3"/>
      <c r="O11" s="3"/>
    </row>
    <row r="12" spans="1:15" ht="63.75" x14ac:dyDescent="0.25">
      <c r="A12" s="27">
        <v>3</v>
      </c>
      <c r="B12" s="23" t="s">
        <v>13</v>
      </c>
      <c r="C12" s="24">
        <f>3277985+10316800+157426008+240000+800000+1600000+8*150000</f>
        <v>174860793</v>
      </c>
      <c r="D12" s="23" t="s">
        <v>183</v>
      </c>
      <c r="E12" s="2"/>
      <c r="F12" s="25">
        <v>0.2</v>
      </c>
      <c r="G12" s="26">
        <f>C12*(1-F12)^5</f>
        <v>57298384.650240034</v>
      </c>
      <c r="H12" s="2"/>
      <c r="I12" s="3"/>
      <c r="J12" s="3"/>
      <c r="K12" s="3"/>
      <c r="L12" s="3"/>
      <c r="M12" s="3"/>
      <c r="N12" s="3"/>
      <c r="O12" s="3"/>
    </row>
    <row r="13" spans="1:15" x14ac:dyDescent="0.25">
      <c r="A13" s="27">
        <v>4</v>
      </c>
      <c r="B13" s="23" t="s">
        <v>168</v>
      </c>
      <c r="C13" s="24">
        <v>4883760</v>
      </c>
      <c r="D13" s="100" t="s">
        <v>169</v>
      </c>
      <c r="E13" s="2"/>
      <c r="F13" s="25">
        <v>0.2</v>
      </c>
      <c r="G13" s="26">
        <f>C13*(1-F13)^5</f>
        <v>1600310.476800001</v>
      </c>
      <c r="H13" s="2"/>
      <c r="I13" s="3"/>
      <c r="J13" s="3"/>
      <c r="K13" s="3"/>
      <c r="L13" s="3"/>
      <c r="M13" s="3"/>
      <c r="N13" s="3"/>
      <c r="O13" s="3"/>
    </row>
    <row r="14" spans="1:15" ht="25.5" x14ac:dyDescent="0.25">
      <c r="A14" s="27">
        <v>5</v>
      </c>
      <c r="B14" s="23" t="s">
        <v>184</v>
      </c>
      <c r="C14" s="24">
        <f>250000*10</f>
        <v>2500000</v>
      </c>
      <c r="D14" s="23" t="s">
        <v>185</v>
      </c>
      <c r="E14" s="2"/>
      <c r="F14" s="25">
        <v>0.2</v>
      </c>
      <c r="G14" s="26">
        <f>C14*(1-F14)^5</f>
        <v>819200.00000000047</v>
      </c>
      <c r="H14" s="2"/>
      <c r="I14" s="3"/>
      <c r="J14" s="3"/>
      <c r="K14" s="3"/>
      <c r="L14" s="3"/>
      <c r="M14" s="3"/>
      <c r="N14" s="3"/>
      <c r="O14" s="3"/>
    </row>
    <row r="15" spans="1:15" x14ac:dyDescent="0.25">
      <c r="A15" s="114"/>
      <c r="B15" s="115"/>
      <c r="C15" s="116">
        <f>SUM(C10:C13)</f>
        <v>367996637</v>
      </c>
      <c r="D15" s="32"/>
      <c r="E15" s="2"/>
      <c r="F15" s="33"/>
      <c r="G15" s="34" t="s">
        <v>18</v>
      </c>
      <c r="H15" s="2"/>
      <c r="I15" s="3"/>
      <c r="J15" s="3"/>
      <c r="K15" s="3"/>
      <c r="L15" s="3"/>
      <c r="M15" s="3"/>
      <c r="N15" s="3"/>
      <c r="O15" s="3"/>
    </row>
    <row r="16" spans="1:15" x14ac:dyDescent="0.25">
      <c r="A16" s="19" t="s">
        <v>11</v>
      </c>
      <c r="B16" s="177" t="s">
        <v>19</v>
      </c>
      <c r="C16" s="177"/>
      <c r="D16" s="177"/>
      <c r="E16" s="2"/>
      <c r="F16" s="20"/>
      <c r="G16" s="35"/>
      <c r="H16" s="2"/>
      <c r="I16" s="3"/>
      <c r="J16" s="3"/>
      <c r="K16" s="3"/>
      <c r="L16" s="3"/>
      <c r="M16" s="3"/>
      <c r="N16" s="3"/>
      <c r="O16" s="3"/>
    </row>
    <row r="17" spans="1:15" x14ac:dyDescent="0.25">
      <c r="A17" s="22">
        <v>1</v>
      </c>
      <c r="B17" s="23" t="s">
        <v>170</v>
      </c>
      <c r="C17" s="24"/>
      <c r="D17" s="23" t="s">
        <v>18</v>
      </c>
      <c r="E17" s="2"/>
      <c r="F17" s="33"/>
      <c r="G17" s="34" t="s">
        <v>18</v>
      </c>
      <c r="H17" s="2"/>
      <c r="I17" s="3"/>
      <c r="J17" s="3"/>
      <c r="K17" s="3"/>
      <c r="L17" s="3"/>
      <c r="M17" s="3"/>
      <c r="N17" s="3"/>
      <c r="O17" s="3"/>
    </row>
    <row r="18" spans="1:15" x14ac:dyDescent="0.25">
      <c r="A18" s="22">
        <v>2</v>
      </c>
      <c r="B18" s="36"/>
      <c r="C18" s="37">
        <f>SUM(C17)</f>
        <v>0</v>
      </c>
      <c r="D18" s="38"/>
      <c r="E18" s="39"/>
      <c r="F18" s="33"/>
      <c r="G18" s="34" t="s">
        <v>18</v>
      </c>
      <c r="H18" s="2"/>
      <c r="I18" s="3"/>
      <c r="J18" s="3"/>
      <c r="K18" s="3"/>
      <c r="L18" s="3"/>
      <c r="M18" s="3"/>
      <c r="N18" s="3"/>
      <c r="O18" s="3"/>
    </row>
    <row r="19" spans="1:15" x14ac:dyDescent="0.25">
      <c r="A19" s="19" t="s">
        <v>11</v>
      </c>
      <c r="B19" s="172" t="s">
        <v>22</v>
      </c>
      <c r="C19" s="173"/>
      <c r="D19" s="174"/>
      <c r="E19" s="2"/>
      <c r="F19" s="20"/>
      <c r="G19" s="35"/>
      <c r="H19" s="2"/>
      <c r="I19" s="3"/>
      <c r="J19" s="3"/>
      <c r="K19" s="3"/>
      <c r="L19" s="3"/>
      <c r="M19" s="3"/>
      <c r="N19" s="3"/>
      <c r="O19" s="3"/>
    </row>
    <row r="20" spans="1:15" ht="25.5" x14ac:dyDescent="0.25">
      <c r="A20" s="22">
        <v>1</v>
      </c>
      <c r="B20" s="23" t="s">
        <v>23</v>
      </c>
      <c r="C20" s="24">
        <v>0</v>
      </c>
      <c r="D20" s="40" t="s">
        <v>171</v>
      </c>
      <c r="E20" s="2"/>
      <c r="F20" s="33"/>
      <c r="G20" s="34" t="s">
        <v>18</v>
      </c>
      <c r="H20" s="2"/>
      <c r="I20" s="3"/>
      <c r="J20" s="3"/>
      <c r="K20" s="3"/>
      <c r="L20" s="3"/>
      <c r="M20" s="3"/>
      <c r="N20" s="3"/>
      <c r="O20" s="3"/>
    </row>
    <row r="21" spans="1:15" x14ac:dyDescent="0.25">
      <c r="A21" s="22">
        <v>2</v>
      </c>
      <c r="B21" s="23" t="s">
        <v>24</v>
      </c>
      <c r="C21" s="24">
        <v>0</v>
      </c>
      <c r="D21" s="40" t="s">
        <v>172</v>
      </c>
      <c r="E21" s="2"/>
      <c r="F21" s="33"/>
      <c r="G21" s="34" t="s">
        <v>18</v>
      </c>
      <c r="H21" s="2"/>
      <c r="I21" s="3"/>
      <c r="J21" s="3"/>
      <c r="K21" s="3"/>
      <c r="L21" s="3"/>
      <c r="M21" s="3"/>
      <c r="N21" s="3"/>
      <c r="O21" s="3"/>
    </row>
    <row r="22" spans="1:15" x14ac:dyDescent="0.25">
      <c r="A22" s="165"/>
      <c r="B22" s="166"/>
      <c r="C22" s="41">
        <f>SUM(C20:C21)</f>
        <v>0</v>
      </c>
      <c r="D22" s="3"/>
      <c r="E22" s="42"/>
      <c r="F22" s="33"/>
      <c r="G22" s="43">
        <f>SUM(G10:G21)</f>
        <v>190008705.81002006</v>
      </c>
      <c r="H22" s="3"/>
      <c r="I22" s="2"/>
      <c r="J22" s="3"/>
      <c r="K22" s="3"/>
      <c r="L22" s="3"/>
      <c r="M22" s="3"/>
      <c r="N22" s="3"/>
      <c r="O22" s="3"/>
    </row>
    <row r="23" spans="1:15" x14ac:dyDescent="0.25">
      <c r="A23" s="44"/>
      <c r="B23" s="45" t="s">
        <v>26</v>
      </c>
      <c r="C23" s="46">
        <f>SUM(C15+C18+C22)</f>
        <v>367996637</v>
      </c>
      <c r="D23" s="3"/>
      <c r="E23" s="3"/>
      <c r="F23" s="3"/>
      <c r="G23" s="2"/>
      <c r="H23" s="2"/>
      <c r="I23" s="2"/>
      <c r="J23" s="2"/>
      <c r="K23" s="2"/>
      <c r="L23" s="3"/>
      <c r="M23" s="3"/>
      <c r="N23" s="3"/>
      <c r="O23" s="3"/>
    </row>
    <row r="24" spans="1:15" x14ac:dyDescent="0.25">
      <c r="A24" s="47"/>
      <c r="B24" s="48"/>
      <c r="C24" s="112"/>
      <c r="D24" s="49"/>
      <c r="E24" s="50"/>
      <c r="F24" s="50"/>
      <c r="G24" s="51"/>
      <c r="H24" s="52"/>
      <c r="I24" s="2"/>
      <c r="J24" s="2"/>
      <c r="K24" s="2"/>
      <c r="L24" s="2"/>
      <c r="M24" s="3"/>
      <c r="N24" s="3"/>
      <c r="O24" s="3"/>
    </row>
    <row r="25" spans="1:15" x14ac:dyDescent="0.25">
      <c r="A25" s="1" t="s">
        <v>186</v>
      </c>
      <c r="B25" s="48"/>
      <c r="C25" s="1"/>
      <c r="E25" s="1"/>
      <c r="F25" s="1"/>
      <c r="G25" s="1"/>
      <c r="H25" s="2"/>
      <c r="I25" s="1"/>
      <c r="J25" s="2"/>
      <c r="K25" s="2"/>
      <c r="L25" s="2"/>
      <c r="M25" s="3"/>
      <c r="N25" s="3"/>
      <c r="O25" s="3"/>
    </row>
    <row r="26" spans="1:15" ht="15.75" x14ac:dyDescent="0.25">
      <c r="A26" s="182" t="s">
        <v>27</v>
      </c>
      <c r="B26" s="183"/>
      <c r="C26" s="183"/>
      <c r="D26" s="183"/>
      <c r="E26" s="183"/>
      <c r="F26" s="183"/>
      <c r="G26" s="183"/>
      <c r="H26" s="183"/>
      <c r="I26" s="184"/>
      <c r="J26" s="54"/>
      <c r="K26" s="54"/>
      <c r="L26" s="54"/>
      <c r="M26" s="54"/>
      <c r="N26" s="54"/>
      <c r="O26" s="44"/>
    </row>
    <row r="27" spans="1:15" x14ac:dyDescent="0.25">
      <c r="A27" s="167" t="s">
        <v>11</v>
      </c>
      <c r="B27" s="167" t="s">
        <v>28</v>
      </c>
      <c r="C27" s="167" t="s">
        <v>173</v>
      </c>
      <c r="D27" s="167" t="s">
        <v>118</v>
      </c>
      <c r="E27" s="55" t="s">
        <v>31</v>
      </c>
      <c r="F27" s="56" t="s">
        <v>32</v>
      </c>
      <c r="G27" s="56" t="s">
        <v>33</v>
      </c>
      <c r="H27" s="56" t="s">
        <v>34</v>
      </c>
      <c r="I27" s="56" t="s">
        <v>35</v>
      </c>
      <c r="J27" s="117"/>
      <c r="K27" s="117"/>
      <c r="L27" s="44"/>
      <c r="M27" s="68"/>
      <c r="N27" s="68"/>
      <c r="O27" s="44"/>
    </row>
    <row r="28" spans="1:15" x14ac:dyDescent="0.25">
      <c r="A28" s="168"/>
      <c r="B28" s="168"/>
      <c r="C28" s="168"/>
      <c r="D28" s="168"/>
      <c r="E28" s="169" t="s">
        <v>39</v>
      </c>
      <c r="F28" s="170"/>
      <c r="G28" s="170"/>
      <c r="H28" s="170"/>
      <c r="I28" s="171"/>
      <c r="J28" s="58"/>
      <c r="K28" s="68"/>
      <c r="L28" s="68"/>
      <c r="M28" s="44"/>
      <c r="N28" s="44"/>
      <c r="O28" s="44"/>
    </row>
    <row r="29" spans="1:15" x14ac:dyDescent="0.25">
      <c r="A29" s="59">
        <v>1</v>
      </c>
      <c r="B29" s="60" t="s">
        <v>187</v>
      </c>
      <c r="C29" s="10">
        <v>1145.3</v>
      </c>
      <c r="D29" s="113">
        <f>20121+21000</f>
        <v>41121</v>
      </c>
      <c r="E29" s="62">
        <f>C29*D29</f>
        <v>47095881.299999997</v>
      </c>
      <c r="F29" s="63">
        <f t="shared" ref="F29:F33" si="0">($D29*(1+$G$3))*$C29</f>
        <v>48744237.145499989</v>
      </c>
      <c r="G29" s="63">
        <f t="shared" ref="G29:I33" si="1">(F29*(1+$G$3))</f>
        <v>50450285.445592485</v>
      </c>
      <c r="H29" s="63">
        <f t="shared" si="1"/>
        <v>52216045.436188221</v>
      </c>
      <c r="I29" s="63">
        <f t="shared" si="1"/>
        <v>54043607.026454806</v>
      </c>
      <c r="J29" s="155"/>
      <c r="K29" s="155"/>
      <c r="L29" s="155"/>
      <c r="M29" s="155"/>
      <c r="N29" s="155"/>
      <c r="O29" s="155"/>
    </row>
    <row r="30" spans="1:15" x14ac:dyDescent="0.25">
      <c r="A30" s="59">
        <v>2</v>
      </c>
      <c r="B30" s="60" t="s">
        <v>188</v>
      </c>
      <c r="C30" s="10">
        <v>1283.0999999999999</v>
      </c>
      <c r="D30" s="113">
        <f>11178+21000</f>
        <v>32178</v>
      </c>
      <c r="E30" s="62">
        <f t="shared" ref="E30:E33" si="2">C30*D30</f>
        <v>41287591.799999997</v>
      </c>
      <c r="F30" s="63">
        <f t="shared" si="0"/>
        <v>42732657.512999989</v>
      </c>
      <c r="G30" s="63">
        <f t="shared" si="1"/>
        <v>44228300.525954984</v>
      </c>
      <c r="H30" s="63">
        <f t="shared" si="1"/>
        <v>45776291.044363402</v>
      </c>
      <c r="I30" s="63">
        <f t="shared" si="1"/>
        <v>47378461.23091612</v>
      </c>
      <c r="J30" s="65"/>
      <c r="K30" s="65"/>
      <c r="L30" s="65"/>
      <c r="M30" s="65"/>
      <c r="N30" s="65"/>
      <c r="O30" s="65"/>
    </row>
    <row r="31" spans="1:15" x14ac:dyDescent="0.25">
      <c r="A31" s="59">
        <v>3</v>
      </c>
      <c r="B31" s="78" t="s">
        <v>189</v>
      </c>
      <c r="C31" s="10">
        <v>1613.7</v>
      </c>
      <c r="D31" s="113">
        <f>9387+21000</f>
        <v>30387</v>
      </c>
      <c r="E31" s="62">
        <f t="shared" si="2"/>
        <v>49035501.899999999</v>
      </c>
      <c r="F31" s="63">
        <f t="shared" si="0"/>
        <v>50751744.466499999</v>
      </c>
      <c r="G31" s="63">
        <f t="shared" si="1"/>
        <v>52528055.522827499</v>
      </c>
      <c r="H31" s="63">
        <f t="shared" si="1"/>
        <v>54366537.466126457</v>
      </c>
      <c r="I31" s="63">
        <f t="shared" si="1"/>
        <v>56269366.277440876</v>
      </c>
      <c r="J31" s="64"/>
      <c r="K31" s="1"/>
      <c r="L31" s="2"/>
      <c r="M31" s="2"/>
      <c r="N31" s="2"/>
      <c r="O31" s="3"/>
    </row>
    <row r="32" spans="1:15" x14ac:dyDescent="0.25">
      <c r="A32" s="107">
        <v>4</v>
      </c>
      <c r="B32" s="60" t="s">
        <v>190</v>
      </c>
      <c r="C32" s="10">
        <v>1255.5</v>
      </c>
      <c r="D32" s="113">
        <f>5360+21000</f>
        <v>26360</v>
      </c>
      <c r="E32" s="62">
        <f t="shared" si="2"/>
        <v>33094980</v>
      </c>
      <c r="F32" s="63">
        <f t="shared" si="0"/>
        <v>34253304.299999997</v>
      </c>
      <c r="G32" s="63">
        <f t="shared" si="1"/>
        <v>35452169.950499997</v>
      </c>
      <c r="H32" s="63">
        <f t="shared" si="1"/>
        <v>36692995.898767494</v>
      </c>
      <c r="I32" s="63">
        <f t="shared" si="1"/>
        <v>37977250.755224355</v>
      </c>
      <c r="J32" s="3"/>
      <c r="K32" s="66"/>
      <c r="L32" s="66"/>
      <c r="M32" s="2"/>
      <c r="N32" s="2"/>
      <c r="O32" s="3"/>
    </row>
    <row r="33" spans="1:15" x14ac:dyDescent="0.25">
      <c r="A33" s="107">
        <v>6</v>
      </c>
      <c r="B33" s="60" t="s">
        <v>174</v>
      </c>
      <c r="C33" s="10">
        <v>302.39999999999998</v>
      </c>
      <c r="D33" s="113">
        <f>3980</f>
        <v>3980</v>
      </c>
      <c r="E33" s="62">
        <f t="shared" si="2"/>
        <v>1203552</v>
      </c>
      <c r="F33" s="63">
        <f t="shared" si="0"/>
        <v>1245676.3199999996</v>
      </c>
      <c r="G33" s="63">
        <f t="shared" si="1"/>
        <v>1289274.9911999996</v>
      </c>
      <c r="H33" s="63">
        <f t="shared" si="1"/>
        <v>1334399.6158919996</v>
      </c>
      <c r="I33" s="63">
        <f t="shared" si="1"/>
        <v>1381103.6024482194</v>
      </c>
      <c r="J33" s="3"/>
      <c r="K33" s="66"/>
      <c r="L33" s="66"/>
      <c r="M33" s="2"/>
      <c r="N33" s="2"/>
      <c r="O33" s="3"/>
    </row>
    <row r="34" spans="1:15" x14ac:dyDescent="0.25">
      <c r="A34" s="5"/>
      <c r="B34" s="156" t="s">
        <v>43</v>
      </c>
      <c r="C34" s="157"/>
      <c r="D34" s="158"/>
      <c r="E34" s="46">
        <f>SUM(E29:E33)*9/12</f>
        <v>128788130.25</v>
      </c>
      <c r="F34" s="46">
        <f>SUM(F29:F33)</f>
        <v>177727619.745</v>
      </c>
      <c r="G34" s="46">
        <f>SUM(G29:G33)</f>
        <v>183948086.43607494</v>
      </c>
      <c r="H34" s="46">
        <f>SUM(H29:H33)</f>
        <v>190386269.4613376</v>
      </c>
      <c r="I34" s="46">
        <f>SUM(I29:I33)</f>
        <v>197049788.89248437</v>
      </c>
      <c r="J34" s="66"/>
      <c r="K34" s="2"/>
      <c r="L34" s="2"/>
      <c r="M34" s="3"/>
      <c r="N34" s="3"/>
      <c r="O34" s="3"/>
    </row>
    <row r="35" spans="1:15" x14ac:dyDescent="0.25">
      <c r="A35" s="2"/>
      <c r="B35" s="48"/>
      <c r="C35" s="67"/>
      <c r="D35" s="68"/>
      <c r="E35" s="68"/>
      <c r="F35" s="68"/>
      <c r="G35" s="68"/>
      <c r="H35" s="68"/>
      <c r="I35" s="1"/>
      <c r="J35" s="11"/>
      <c r="K35" s="66"/>
      <c r="L35" s="66"/>
      <c r="M35" s="2"/>
      <c r="N35" s="2"/>
      <c r="O35" s="3"/>
    </row>
    <row r="36" spans="1:15" x14ac:dyDescent="0.25">
      <c r="A36" s="2"/>
      <c r="B36" s="69"/>
      <c r="C36" s="67"/>
      <c r="D36" s="68"/>
      <c r="E36" s="68"/>
      <c r="F36" s="68"/>
      <c r="G36" s="68"/>
      <c r="H36" s="68"/>
      <c r="I36" s="1"/>
      <c r="J36" s="11"/>
      <c r="K36" s="3"/>
      <c r="L36" s="3"/>
      <c r="M36" s="2"/>
      <c r="N36" s="2"/>
      <c r="O36" s="3"/>
    </row>
    <row r="37" spans="1:15" ht="15.75" x14ac:dyDescent="0.25">
      <c r="A37" s="185" t="s">
        <v>44</v>
      </c>
      <c r="B37" s="186"/>
      <c r="C37" s="186"/>
      <c r="D37" s="186"/>
      <c r="E37" s="186"/>
      <c r="F37" s="186"/>
      <c r="G37" s="186"/>
      <c r="H37" s="186"/>
      <c r="I37" s="186"/>
      <c r="J37" s="187"/>
      <c r="K37" s="54"/>
      <c r="L37" s="54"/>
      <c r="M37" s="54"/>
      <c r="N37" s="44"/>
      <c r="O37" s="3"/>
    </row>
    <row r="38" spans="1:15" x14ac:dyDescent="0.25">
      <c r="A38" s="56" t="s">
        <v>11</v>
      </c>
      <c r="B38" s="70" t="s">
        <v>7</v>
      </c>
      <c r="C38" s="71" t="s">
        <v>45</v>
      </c>
      <c r="D38" s="71" t="s">
        <v>46</v>
      </c>
      <c r="E38" s="55" t="s">
        <v>31</v>
      </c>
      <c r="F38" s="56" t="s">
        <v>32</v>
      </c>
      <c r="G38" s="56" t="s">
        <v>33</v>
      </c>
      <c r="H38" s="56" t="s">
        <v>34</v>
      </c>
      <c r="I38" s="56" t="s">
        <v>35</v>
      </c>
      <c r="J38" s="14" t="s">
        <v>9</v>
      </c>
      <c r="K38" s="3"/>
      <c r="L38" s="3"/>
      <c r="M38" s="3"/>
      <c r="N38" s="3"/>
      <c r="O38" s="3"/>
    </row>
    <row r="39" spans="1:15" ht="15.75" x14ac:dyDescent="0.25">
      <c r="A39" s="101"/>
      <c r="B39" s="163" t="s">
        <v>47</v>
      </c>
      <c r="C39" s="163"/>
      <c r="D39" s="163"/>
      <c r="E39" s="163"/>
      <c r="F39" s="163"/>
      <c r="G39" s="163"/>
      <c r="H39" s="163"/>
      <c r="I39" s="164"/>
      <c r="J39" s="73"/>
      <c r="K39" s="3"/>
      <c r="L39" s="3"/>
      <c r="M39" s="3"/>
      <c r="N39" s="3"/>
      <c r="O39" s="3"/>
    </row>
    <row r="40" spans="1:15" ht="25.5" x14ac:dyDescent="0.25">
      <c r="A40" s="59" t="s">
        <v>48</v>
      </c>
      <c r="B40" s="74" t="s">
        <v>149</v>
      </c>
      <c r="C40" s="9">
        <v>1</v>
      </c>
      <c r="D40" s="24">
        <f>11808000+1152000</f>
        <v>12960000</v>
      </c>
      <c r="E40" s="75">
        <f t="shared" ref="E40:E50" si="3">C40*D40</f>
        <v>12960000</v>
      </c>
      <c r="F40" s="75">
        <f>E40*(1+$G$3)</f>
        <v>13413599.999999998</v>
      </c>
      <c r="G40" s="75">
        <f>F40*(1+$G$3)</f>
        <v>13883075.999999996</v>
      </c>
      <c r="H40" s="75">
        <f>G40*(1+$G$3)</f>
        <v>14368983.659999995</v>
      </c>
      <c r="I40" s="75">
        <f>H40*(1+$G$3)</f>
        <v>14871898.088099994</v>
      </c>
      <c r="J40" s="76" t="s">
        <v>175</v>
      </c>
      <c r="K40" s="2"/>
      <c r="L40" s="2"/>
      <c r="M40" s="2"/>
      <c r="N40" s="3"/>
      <c r="O40" s="3"/>
    </row>
    <row r="41" spans="1:15" x14ac:dyDescent="0.25">
      <c r="A41" s="59" t="s">
        <v>51</v>
      </c>
      <c r="B41" s="74" t="s">
        <v>55</v>
      </c>
      <c r="C41" s="9"/>
      <c r="D41" s="24"/>
      <c r="E41" s="75">
        <f t="shared" si="3"/>
        <v>0</v>
      </c>
      <c r="F41" s="75">
        <f>E41*(1+$G$3)</f>
        <v>0</v>
      </c>
      <c r="G41" s="75">
        <f>F41*(1+$G$3)</f>
        <v>0</v>
      </c>
      <c r="H41" s="75">
        <f t="shared" ref="H41:I41" si="4">G41*(1+$G$3)</f>
        <v>0</v>
      </c>
      <c r="I41" s="75">
        <f t="shared" si="4"/>
        <v>0</v>
      </c>
      <c r="J41" s="10"/>
      <c r="K41" s="2"/>
      <c r="L41" s="2"/>
      <c r="M41" s="2"/>
      <c r="N41" s="3"/>
      <c r="O41" s="3"/>
    </row>
    <row r="42" spans="1:15" ht="25.5" x14ac:dyDescent="0.25">
      <c r="A42" s="59" t="s">
        <v>54</v>
      </c>
      <c r="B42" s="60" t="s">
        <v>136</v>
      </c>
      <c r="C42" s="9">
        <v>12</v>
      </c>
      <c r="D42" s="24">
        <v>350000</v>
      </c>
      <c r="E42" s="75">
        <f t="shared" si="3"/>
        <v>4200000</v>
      </c>
      <c r="F42" s="75">
        <f>D42*C42</f>
        <v>4200000</v>
      </c>
      <c r="G42" s="75">
        <f>F42*(1+$G$3)</f>
        <v>4347000</v>
      </c>
      <c r="H42" s="75">
        <f>G42*(1+$G$3)</f>
        <v>4499145</v>
      </c>
      <c r="I42" s="75">
        <f>H42*(1+$G$3)</f>
        <v>4656615.0749999993</v>
      </c>
      <c r="J42" s="76" t="s">
        <v>176</v>
      </c>
      <c r="K42" s="2"/>
      <c r="L42" s="3"/>
      <c r="M42" s="3"/>
      <c r="N42" s="3"/>
      <c r="O42" s="3"/>
    </row>
    <row r="43" spans="1:15" x14ac:dyDescent="0.25">
      <c r="A43" s="59" t="s">
        <v>57</v>
      </c>
      <c r="B43" s="60"/>
      <c r="C43" s="9"/>
      <c r="D43" s="24"/>
      <c r="E43" s="75">
        <f t="shared" si="3"/>
        <v>0</v>
      </c>
      <c r="F43" s="75">
        <f>D43*C43</f>
        <v>0</v>
      </c>
      <c r="G43" s="75">
        <f>F43*(1+$G$3)</f>
        <v>0</v>
      </c>
      <c r="H43" s="75">
        <f t="shared" ref="H43:I43" si="5">G43</f>
        <v>0</v>
      </c>
      <c r="I43" s="75">
        <f t="shared" si="5"/>
        <v>0</v>
      </c>
      <c r="J43" s="10"/>
      <c r="K43" s="2"/>
      <c r="L43" s="3"/>
      <c r="M43" s="3"/>
      <c r="N43" s="3"/>
      <c r="O43" s="3"/>
    </row>
    <row r="44" spans="1:15" x14ac:dyDescent="0.25">
      <c r="A44" s="56">
        <v>2</v>
      </c>
      <c r="B44" s="140" t="s">
        <v>60</v>
      </c>
      <c r="C44" s="141"/>
      <c r="D44" s="141"/>
      <c r="E44" s="141"/>
      <c r="F44" s="141"/>
      <c r="G44" s="141"/>
      <c r="H44" s="141"/>
      <c r="I44" s="142"/>
      <c r="J44" s="77"/>
      <c r="K44" s="2"/>
      <c r="L44" s="3"/>
      <c r="M44" s="3"/>
      <c r="N44" s="3"/>
      <c r="O44" s="3"/>
    </row>
    <row r="45" spans="1:15" ht="63.75" x14ac:dyDescent="0.25">
      <c r="A45" s="59" t="s">
        <v>48</v>
      </c>
      <c r="B45" s="78" t="s">
        <v>61</v>
      </c>
      <c r="C45" s="9">
        <v>1</v>
      </c>
      <c r="D45" s="24">
        <f>21000000+7200000+300000*8*12</f>
        <v>57000000</v>
      </c>
      <c r="E45" s="75">
        <f>C45*D45</f>
        <v>57000000</v>
      </c>
      <c r="F45" s="75">
        <f>E45*(1+$G$3)</f>
        <v>58994999.999999993</v>
      </c>
      <c r="G45" s="75">
        <f>F45*(1+$G$3)</f>
        <v>61059824.999999985</v>
      </c>
      <c r="H45" s="75">
        <f>G45*(1+$G$3)</f>
        <v>63196918.874999978</v>
      </c>
      <c r="I45" s="75">
        <f>H45*(1+$G$3)</f>
        <v>65408811.035624973</v>
      </c>
      <c r="J45" s="76" t="s">
        <v>191</v>
      </c>
      <c r="K45" s="2"/>
      <c r="L45" s="3"/>
      <c r="M45" s="3"/>
      <c r="N45" s="3"/>
      <c r="O45" s="3"/>
    </row>
    <row r="46" spans="1:15" ht="25.5" x14ac:dyDescent="0.25">
      <c r="A46" s="56" t="s">
        <v>51</v>
      </c>
      <c r="B46" s="74" t="s">
        <v>177</v>
      </c>
      <c r="C46" s="9">
        <v>1</v>
      </c>
      <c r="D46" s="24">
        <v>1362390</v>
      </c>
      <c r="E46" s="75">
        <f t="shared" ref="E46:E47" si="6">C46*D46</f>
        <v>1362390</v>
      </c>
      <c r="F46" s="75">
        <f>D46*C46</f>
        <v>1362390</v>
      </c>
      <c r="G46" s="75">
        <f>F46</f>
        <v>1362390</v>
      </c>
      <c r="H46" s="75">
        <f t="shared" ref="H46:I47" si="7">G46</f>
        <v>1362390</v>
      </c>
      <c r="I46" s="75">
        <f t="shared" si="7"/>
        <v>1362390</v>
      </c>
      <c r="J46" s="76" t="s">
        <v>178</v>
      </c>
      <c r="K46" s="2"/>
      <c r="L46" s="3"/>
      <c r="M46" s="3"/>
      <c r="N46" s="3"/>
      <c r="O46" s="3"/>
    </row>
    <row r="47" spans="1:15" ht="38.25" x14ac:dyDescent="0.25">
      <c r="A47" s="56" t="s">
        <v>54</v>
      </c>
      <c r="B47" s="74" t="s">
        <v>179</v>
      </c>
      <c r="C47" s="9">
        <v>1</v>
      </c>
      <c r="D47" s="24">
        <f>15580711+270000</f>
        <v>15850711</v>
      </c>
      <c r="E47" s="75">
        <f t="shared" si="6"/>
        <v>15850711</v>
      </c>
      <c r="F47" s="75">
        <f>D47*C47</f>
        <v>15850711</v>
      </c>
      <c r="G47" s="75">
        <f>F47</f>
        <v>15850711</v>
      </c>
      <c r="H47" s="75">
        <f t="shared" si="7"/>
        <v>15850711</v>
      </c>
      <c r="I47" s="75">
        <f t="shared" si="7"/>
        <v>15850711</v>
      </c>
      <c r="J47" s="76" t="s">
        <v>180</v>
      </c>
      <c r="K47" s="2"/>
      <c r="L47" s="3"/>
      <c r="M47" s="3"/>
      <c r="N47" s="3"/>
      <c r="O47" s="3"/>
    </row>
    <row r="48" spans="1:15" x14ac:dyDescent="0.25">
      <c r="A48" s="56">
        <v>3</v>
      </c>
      <c r="B48" s="162" t="s">
        <v>75</v>
      </c>
      <c r="C48" s="163"/>
      <c r="D48" s="163"/>
      <c r="E48" s="163"/>
      <c r="F48" s="163"/>
      <c r="G48" s="163"/>
      <c r="H48" s="163"/>
      <c r="I48" s="164"/>
      <c r="J48" s="77"/>
      <c r="K48" s="2"/>
      <c r="L48" s="3"/>
      <c r="M48" s="3"/>
      <c r="N48" s="3"/>
      <c r="O48" s="3"/>
    </row>
    <row r="49" spans="1:15" x14ac:dyDescent="0.25">
      <c r="A49" s="59" t="s">
        <v>48</v>
      </c>
      <c r="B49" s="78" t="s">
        <v>76</v>
      </c>
      <c r="C49" s="9"/>
      <c r="D49" s="24"/>
      <c r="E49" s="75">
        <f t="shared" si="3"/>
        <v>0</v>
      </c>
      <c r="F49" s="75">
        <f t="shared" ref="F49:I50" si="8">E49*(1+$G$3)</f>
        <v>0</v>
      </c>
      <c r="G49" s="75">
        <f t="shared" si="8"/>
        <v>0</v>
      </c>
      <c r="H49" s="75">
        <f t="shared" si="8"/>
        <v>0</v>
      </c>
      <c r="I49" s="75">
        <f t="shared" si="8"/>
        <v>0</v>
      </c>
      <c r="J49" s="10"/>
      <c r="K49" s="2"/>
      <c r="L49" s="3"/>
      <c r="M49" s="3"/>
      <c r="N49" s="3"/>
      <c r="O49" s="3"/>
    </row>
    <row r="50" spans="1:15" ht="25.5" x14ac:dyDescent="0.25">
      <c r="A50" s="59" t="s">
        <v>51</v>
      </c>
      <c r="B50" s="78" t="s">
        <v>77</v>
      </c>
      <c r="C50" s="9">
        <v>10</v>
      </c>
      <c r="D50" s="24">
        <v>350000</v>
      </c>
      <c r="E50" s="75">
        <f t="shared" si="3"/>
        <v>3500000</v>
      </c>
      <c r="F50" s="75">
        <f t="shared" si="8"/>
        <v>3622499.9999999995</v>
      </c>
      <c r="G50" s="75">
        <f t="shared" si="8"/>
        <v>3749287.4999999991</v>
      </c>
      <c r="H50" s="75">
        <f t="shared" si="8"/>
        <v>3880512.5624999986</v>
      </c>
      <c r="I50" s="75">
        <f t="shared" si="8"/>
        <v>4016330.5021874984</v>
      </c>
      <c r="J50" s="76" t="s">
        <v>181</v>
      </c>
      <c r="K50" s="2"/>
      <c r="L50" s="3"/>
      <c r="M50" s="3"/>
      <c r="N50" s="3"/>
      <c r="O50" s="3"/>
    </row>
    <row r="51" spans="1:15" x14ac:dyDescent="0.25">
      <c r="A51" s="56"/>
      <c r="B51" s="70" t="s">
        <v>79</v>
      </c>
      <c r="C51" s="70"/>
      <c r="D51" s="70"/>
      <c r="E51" s="46">
        <f>SUM(E40:E50)</f>
        <v>94873101</v>
      </c>
      <c r="F51" s="46">
        <f>SUM(F40:F50)</f>
        <v>97444201</v>
      </c>
      <c r="G51" s="46">
        <f t="shared" ref="G51:I51" si="9">SUM(G40:G50)</f>
        <v>100252289.49999999</v>
      </c>
      <c r="H51" s="46">
        <f t="shared" si="9"/>
        <v>103158661.09749997</v>
      </c>
      <c r="I51" s="46">
        <f t="shared" si="9"/>
        <v>106166755.70091248</v>
      </c>
      <c r="J51" s="80"/>
      <c r="K51" s="2"/>
      <c r="L51" s="3"/>
      <c r="M51" s="3"/>
      <c r="N51" s="3"/>
      <c r="O51" s="3"/>
    </row>
    <row r="52" spans="1:15" x14ac:dyDescent="0.25">
      <c r="A52" s="2"/>
      <c r="B52" s="48"/>
      <c r="C52" s="1"/>
      <c r="D52" s="1"/>
      <c r="E52" s="11"/>
      <c r="F52" s="1"/>
      <c r="G52" s="1"/>
      <c r="H52" s="1"/>
      <c r="I52" s="1"/>
      <c r="J52" s="1"/>
      <c r="K52" s="2"/>
      <c r="L52" s="2"/>
      <c r="M52" s="3"/>
      <c r="N52" s="3"/>
      <c r="O52" s="3"/>
    </row>
    <row r="53" spans="1:15" x14ac:dyDescent="0.25">
      <c r="A53" s="2"/>
      <c r="B53" s="2"/>
      <c r="C53" s="81"/>
      <c r="D53" s="2"/>
      <c r="E53" s="2"/>
      <c r="F53" s="2"/>
      <c r="G53" s="2"/>
      <c r="H53" s="2"/>
      <c r="I53" s="2"/>
      <c r="J53" s="2"/>
      <c r="K53" s="2"/>
      <c r="L53" s="2"/>
      <c r="M53" s="3"/>
      <c r="N53" s="3"/>
      <c r="O53" s="3"/>
    </row>
    <row r="54" spans="1:15" x14ac:dyDescent="0.25">
      <c r="A54" s="2"/>
      <c r="B54" s="2"/>
      <c r="C54" s="81"/>
      <c r="D54" s="2"/>
      <c r="E54" s="2"/>
      <c r="F54" s="2"/>
      <c r="G54" s="2"/>
      <c r="H54" s="2"/>
      <c r="I54" s="2"/>
      <c r="J54" s="2"/>
      <c r="K54" s="2"/>
      <c r="L54" s="2"/>
      <c r="M54" s="3"/>
      <c r="N54" s="3"/>
      <c r="O54" s="3"/>
    </row>
    <row r="55" spans="1:15" ht="15.75" x14ac:dyDescent="0.25">
      <c r="A55" s="178" t="s">
        <v>80</v>
      </c>
      <c r="B55" s="179"/>
      <c r="C55" s="179"/>
      <c r="D55" s="179"/>
      <c r="E55" s="179"/>
      <c r="F55" s="179"/>
      <c r="G55" s="179"/>
      <c r="H55" s="180"/>
      <c r="I55" s="2"/>
      <c r="J55" s="2"/>
      <c r="K55" s="2"/>
      <c r="L55" s="2"/>
      <c r="M55" s="3"/>
      <c r="N55" s="3"/>
      <c r="O55" s="3"/>
    </row>
    <row r="56" spans="1:15" x14ac:dyDescent="0.25">
      <c r="A56" s="56" t="s">
        <v>11</v>
      </c>
      <c r="B56" s="82" t="s">
        <v>81</v>
      </c>
      <c r="C56" s="83" t="s">
        <v>82</v>
      </c>
      <c r="D56" s="84" t="s">
        <v>31</v>
      </c>
      <c r="E56" s="84" t="s">
        <v>32</v>
      </c>
      <c r="F56" s="84" t="s">
        <v>33</v>
      </c>
      <c r="G56" s="84" t="s">
        <v>34</v>
      </c>
      <c r="H56" s="84" t="s">
        <v>35</v>
      </c>
      <c r="I56" s="85"/>
      <c r="J56" s="85"/>
      <c r="K56" s="2"/>
      <c r="L56" s="2"/>
      <c r="M56" s="3"/>
      <c r="N56" s="3"/>
      <c r="O56" s="3"/>
    </row>
    <row r="57" spans="1:15" x14ac:dyDescent="0.25">
      <c r="A57" s="59">
        <v>1</v>
      </c>
      <c r="B57" s="86" t="s">
        <v>83</v>
      </c>
      <c r="C57" s="87"/>
      <c r="D57" s="87">
        <f>E34</f>
        <v>128788130.25</v>
      </c>
      <c r="E57" s="87">
        <f>F34</f>
        <v>177727619.745</v>
      </c>
      <c r="F57" s="87">
        <f>G34</f>
        <v>183948086.43607494</v>
      </c>
      <c r="G57" s="87">
        <f>H34</f>
        <v>190386269.4613376</v>
      </c>
      <c r="H57" s="87">
        <f>I34</f>
        <v>197049788.89248437</v>
      </c>
      <c r="I57" s="88"/>
      <c r="J57" s="88"/>
      <c r="K57" s="2"/>
      <c r="L57" s="2"/>
      <c r="M57" s="3"/>
      <c r="N57" s="3"/>
      <c r="O57" s="3"/>
    </row>
    <row r="58" spans="1:15" x14ac:dyDescent="0.25">
      <c r="A58" s="59">
        <v>2</v>
      </c>
      <c r="B58" s="86" t="s">
        <v>84</v>
      </c>
      <c r="C58" s="89"/>
      <c r="D58" s="87">
        <f>E51</f>
        <v>94873101</v>
      </c>
      <c r="E58" s="87">
        <f>F51</f>
        <v>97444201</v>
      </c>
      <c r="F58" s="87">
        <f>G51</f>
        <v>100252289.49999999</v>
      </c>
      <c r="G58" s="87">
        <f>H51</f>
        <v>103158661.09749997</v>
      </c>
      <c r="H58" s="87">
        <f>I51</f>
        <v>106166755.70091248</v>
      </c>
      <c r="I58" s="88"/>
      <c r="J58" s="88"/>
      <c r="K58" s="2"/>
      <c r="L58" s="2"/>
      <c r="M58" s="3"/>
      <c r="N58" s="3"/>
      <c r="O58" s="3"/>
    </row>
    <row r="59" spans="1:15" x14ac:dyDescent="0.25">
      <c r="A59" s="59">
        <v>3</v>
      </c>
      <c r="B59" s="86" t="s">
        <v>85</v>
      </c>
      <c r="C59" s="89">
        <f>C23</f>
        <v>367996637</v>
      </c>
      <c r="D59" s="87"/>
      <c r="E59" s="87"/>
      <c r="F59" s="87"/>
      <c r="G59" s="87"/>
      <c r="H59" s="87"/>
      <c r="I59" s="88"/>
      <c r="J59" s="88"/>
      <c r="K59" s="2"/>
      <c r="L59" s="2"/>
      <c r="M59" s="3"/>
      <c r="N59" s="3"/>
      <c r="O59" s="3"/>
    </row>
    <row r="60" spans="1:15" x14ac:dyDescent="0.25">
      <c r="A60" s="59">
        <v>4</v>
      </c>
      <c r="B60" s="86" t="s">
        <v>86</v>
      </c>
      <c r="C60" s="89">
        <f>SUM(E45:E47)/2</f>
        <v>37106550.5</v>
      </c>
      <c r="D60" s="87"/>
      <c r="E60" s="87"/>
      <c r="F60" s="87"/>
      <c r="G60" s="87"/>
      <c r="H60" s="87"/>
      <c r="I60" s="88"/>
      <c r="J60" s="88"/>
      <c r="K60" s="2"/>
      <c r="L60" s="2"/>
      <c r="M60" s="3"/>
      <c r="N60" s="3"/>
      <c r="O60" s="3"/>
    </row>
    <row r="61" spans="1:15" x14ac:dyDescent="0.25">
      <c r="A61" s="59">
        <v>5</v>
      </c>
      <c r="B61" s="86" t="s">
        <v>87</v>
      </c>
      <c r="C61" s="89"/>
      <c r="D61" s="87"/>
      <c r="E61" s="87"/>
      <c r="F61" s="87"/>
      <c r="G61" s="87"/>
      <c r="H61" s="102">
        <f>G22</f>
        <v>190008705.81002006</v>
      </c>
      <c r="I61" s="88"/>
      <c r="J61" s="88"/>
      <c r="K61" s="2"/>
      <c r="L61" s="2"/>
      <c r="M61" s="3"/>
      <c r="N61" s="3"/>
      <c r="O61" s="3"/>
    </row>
    <row r="62" spans="1:15" x14ac:dyDescent="0.25">
      <c r="A62" s="59">
        <v>6</v>
      </c>
      <c r="B62" s="86" t="s">
        <v>182</v>
      </c>
      <c r="C62" s="89"/>
      <c r="D62" s="87"/>
      <c r="E62" s="87"/>
      <c r="F62" s="87"/>
      <c r="G62" s="87"/>
      <c r="H62" s="102">
        <f>C60</f>
        <v>37106550.5</v>
      </c>
      <c r="I62" s="88"/>
      <c r="J62" s="88"/>
      <c r="K62" s="2"/>
      <c r="L62" s="2"/>
      <c r="M62" s="3"/>
      <c r="N62" s="3"/>
      <c r="O62" s="3"/>
    </row>
    <row r="63" spans="1:15" x14ac:dyDescent="0.25">
      <c r="A63" s="59"/>
      <c r="B63" s="86" t="s">
        <v>89</v>
      </c>
      <c r="C63" s="89">
        <f>-SUM(C59:C62)</f>
        <v>-405103187.5</v>
      </c>
      <c r="D63" s="87">
        <f>SUM(D57-D58-D59+D61+D60+D62)</f>
        <v>33915029.25</v>
      </c>
      <c r="E63" s="87">
        <f t="shared" ref="E63:H63" si="10">SUM(E57-E58-E59+E61+E60+E62)</f>
        <v>80283418.745000005</v>
      </c>
      <c r="F63" s="87">
        <f t="shared" si="10"/>
        <v>83695796.936074957</v>
      </c>
      <c r="G63" s="87">
        <f t="shared" si="10"/>
        <v>87227608.36383763</v>
      </c>
      <c r="H63" s="87">
        <f t="shared" si="10"/>
        <v>317998289.50159192</v>
      </c>
      <c r="I63" s="88"/>
      <c r="J63" s="88"/>
      <c r="K63" s="2"/>
      <c r="L63" s="2"/>
      <c r="M63" s="3"/>
      <c r="N63" s="3"/>
      <c r="O63" s="3"/>
    </row>
    <row r="64" spans="1:15" x14ac:dyDescent="0.25">
      <c r="A64" s="2" t="s">
        <v>160</v>
      </c>
      <c r="B64" s="108"/>
      <c r="C64" s="108"/>
      <c r="D64" s="108"/>
      <c r="E64" s="108"/>
      <c r="F64" s="108"/>
      <c r="G64" s="108"/>
      <c r="H64" s="108"/>
      <c r="I64" s="68"/>
      <c r="J64" s="68"/>
      <c r="K64" s="2"/>
      <c r="L64" s="2"/>
      <c r="M64" s="3"/>
      <c r="N64" s="3"/>
      <c r="O64" s="3"/>
    </row>
    <row r="65" spans="1:15" x14ac:dyDescent="0.25">
      <c r="A65" s="2"/>
      <c r="B65" s="2"/>
      <c r="C65" s="2"/>
      <c r="D65" s="2"/>
      <c r="E65" s="2"/>
      <c r="F65" s="2"/>
      <c r="G65" s="2"/>
      <c r="H65" s="2"/>
      <c r="I65" s="68"/>
      <c r="J65" s="68"/>
      <c r="K65" s="2"/>
      <c r="L65" s="2"/>
      <c r="M65" s="3"/>
      <c r="N65" s="3"/>
      <c r="O65" s="3"/>
    </row>
    <row r="66" spans="1:15" x14ac:dyDescent="0.25">
      <c r="A66" s="2"/>
      <c r="B66" s="2"/>
      <c r="C66" s="2"/>
      <c r="D66" s="2"/>
      <c r="E66" s="2"/>
      <c r="F66" s="2"/>
      <c r="G66" s="2"/>
      <c r="H66" s="2"/>
      <c r="I66" s="68"/>
      <c r="J66" s="68"/>
      <c r="K66" s="2"/>
      <c r="L66" s="2"/>
      <c r="M66" s="3"/>
      <c r="N66" s="3"/>
      <c r="O66" s="3"/>
    </row>
    <row r="67" spans="1:15" ht="15.75" x14ac:dyDescent="0.25">
      <c r="A67" s="182" t="s">
        <v>90</v>
      </c>
      <c r="B67" s="183"/>
      <c r="C67" s="184"/>
      <c r="D67" s="2"/>
      <c r="E67" s="2"/>
      <c r="F67" s="2"/>
      <c r="G67" s="90"/>
      <c r="H67" s="2"/>
      <c r="I67" s="2"/>
      <c r="J67" s="2"/>
      <c r="K67" s="2"/>
      <c r="L67" s="2"/>
      <c r="M67" s="3"/>
      <c r="N67" s="3"/>
      <c r="O67" s="3"/>
    </row>
    <row r="68" spans="1:15" x14ac:dyDescent="0.25">
      <c r="A68" s="91" t="s">
        <v>11</v>
      </c>
      <c r="B68" s="92" t="s">
        <v>91</v>
      </c>
      <c r="C68" s="92" t="s">
        <v>92</v>
      </c>
      <c r="D68" s="2"/>
      <c r="E68" s="2"/>
      <c r="F68" s="2"/>
      <c r="G68" s="2"/>
      <c r="H68" s="2"/>
      <c r="I68" s="2"/>
      <c r="J68" s="2"/>
      <c r="K68" s="85"/>
      <c r="L68" s="85"/>
      <c r="M68" s="3"/>
      <c r="N68" s="3"/>
      <c r="O68" s="3"/>
    </row>
    <row r="69" spans="1:15" ht="25.5" x14ac:dyDescent="0.25">
      <c r="A69" s="93">
        <v>1</v>
      </c>
      <c r="B69" s="94" t="s">
        <v>93</v>
      </c>
      <c r="C69" s="104">
        <f>NPV(C73,D63:H63)+C63</f>
        <v>11990029.970853209</v>
      </c>
      <c r="D69" s="3"/>
      <c r="E69" s="3"/>
      <c r="F69" s="3"/>
      <c r="G69" s="3"/>
      <c r="H69" s="3"/>
      <c r="I69" s="3"/>
      <c r="J69" s="3"/>
      <c r="K69" s="88"/>
      <c r="L69" s="88"/>
      <c r="M69" s="3"/>
      <c r="N69" s="3"/>
      <c r="O69" s="3"/>
    </row>
    <row r="70" spans="1:15" ht="25.5" x14ac:dyDescent="0.25">
      <c r="A70" s="93">
        <v>2</v>
      </c>
      <c r="B70" s="94" t="s">
        <v>212</v>
      </c>
      <c r="C70" s="95">
        <f>NPV(C73,D63:H63)</f>
        <v>417093217.47085321</v>
      </c>
      <c r="D70" s="3"/>
      <c r="E70" s="3"/>
      <c r="F70" s="3"/>
      <c r="G70" s="3"/>
      <c r="H70" s="3"/>
      <c r="I70" s="3"/>
      <c r="J70" s="3"/>
      <c r="K70" s="88"/>
      <c r="L70" s="88"/>
      <c r="M70" s="3"/>
      <c r="N70" s="3"/>
      <c r="O70" s="3"/>
    </row>
    <row r="71" spans="1:15" x14ac:dyDescent="0.25">
      <c r="A71" s="93">
        <v>3</v>
      </c>
      <c r="B71" s="96" t="s">
        <v>322</v>
      </c>
      <c r="C71" s="97">
        <f>IRR(C63:H63)</f>
        <v>0.10853116529634188</v>
      </c>
      <c r="D71" s="3"/>
      <c r="E71" s="3"/>
      <c r="F71" s="3"/>
      <c r="G71" s="3"/>
      <c r="H71" s="3"/>
      <c r="I71" s="3"/>
      <c r="J71" s="3"/>
      <c r="K71" s="88"/>
      <c r="L71" s="88"/>
      <c r="M71" s="3"/>
      <c r="N71" s="3"/>
      <c r="O71" s="3"/>
    </row>
    <row r="72" spans="1:15" x14ac:dyDescent="0.25">
      <c r="A72" s="2"/>
      <c r="B72" s="2"/>
      <c r="C72" s="2"/>
      <c r="D72" s="3"/>
      <c r="E72" s="3"/>
      <c r="F72" s="3"/>
      <c r="G72" s="3"/>
      <c r="H72" s="3"/>
      <c r="I72" s="3"/>
      <c r="J72" s="3"/>
      <c r="K72" s="88"/>
      <c r="L72" s="88"/>
      <c r="M72" s="3"/>
      <c r="N72" s="3"/>
      <c r="O72" s="3"/>
    </row>
    <row r="73" spans="1:15" x14ac:dyDescent="0.25">
      <c r="A73" s="2"/>
      <c r="B73" s="98" t="s">
        <v>94</v>
      </c>
      <c r="C73" s="99">
        <v>0.1</v>
      </c>
      <c r="D73" s="3"/>
      <c r="E73" s="3"/>
      <c r="F73" s="3"/>
      <c r="G73" s="3"/>
      <c r="H73" s="3"/>
      <c r="I73" s="3"/>
      <c r="J73" s="3"/>
      <c r="K73" s="68"/>
      <c r="L73" s="68"/>
      <c r="M73" s="3"/>
      <c r="N73" s="3"/>
      <c r="O73" s="3"/>
    </row>
    <row r="74" spans="1:15" x14ac:dyDescent="0.25">
      <c r="A74" s="3"/>
      <c r="B74" s="3"/>
      <c r="C74" s="3"/>
      <c r="D74" s="3"/>
      <c r="E74" s="3"/>
      <c r="F74" s="3"/>
      <c r="G74" s="3"/>
      <c r="H74" s="3"/>
      <c r="I74" s="3"/>
      <c r="J74" s="3"/>
      <c r="K74" s="3"/>
      <c r="L74" s="3"/>
      <c r="M74" s="3"/>
      <c r="N74" s="3"/>
      <c r="O74" s="3"/>
    </row>
  </sheetData>
  <mergeCells count="21">
    <mergeCell ref="A55:H55"/>
    <mergeCell ref="A67:C67"/>
    <mergeCell ref="J29:O29"/>
    <mergeCell ref="B34:D34"/>
    <mergeCell ref="A37:J37"/>
    <mergeCell ref="B39:I39"/>
    <mergeCell ref="B44:I44"/>
    <mergeCell ref="B48:I48"/>
    <mergeCell ref="A22:B22"/>
    <mergeCell ref="A26:I26"/>
    <mergeCell ref="A27:A28"/>
    <mergeCell ref="B27:B28"/>
    <mergeCell ref="C27:C28"/>
    <mergeCell ref="D27:D28"/>
    <mergeCell ref="E28:I28"/>
    <mergeCell ref="B19:D19"/>
    <mergeCell ref="A1:H1"/>
    <mergeCell ref="A7:D7"/>
    <mergeCell ref="F7:G7"/>
    <mergeCell ref="B9:D9"/>
    <mergeCell ref="B16:D16"/>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77"/>
  <sheetViews>
    <sheetView showGridLines="0" topLeftCell="B54" workbookViewId="0">
      <selection activeCell="B73" sqref="B73"/>
    </sheetView>
  </sheetViews>
  <sheetFormatPr baseColWidth="10" defaultRowHeight="15" x14ac:dyDescent="0.25"/>
  <cols>
    <col min="2" max="2" width="31.7109375" customWidth="1"/>
    <col min="3" max="3" width="18.7109375" customWidth="1"/>
    <col min="4" max="4" width="45.42578125" customWidth="1"/>
    <col min="6" max="6" width="14.85546875" customWidth="1"/>
    <col min="7" max="7" width="16.85546875" customWidth="1"/>
    <col min="8" max="8" width="18.42578125" customWidth="1"/>
    <col min="9" max="9" width="16.42578125" customWidth="1"/>
    <col min="10" max="10" width="15.28515625" customWidth="1"/>
    <col min="11" max="11" width="16.85546875" customWidth="1"/>
    <col min="12" max="12" width="49" customWidth="1"/>
  </cols>
  <sheetData>
    <row r="1" spans="1:12" ht="21" x14ac:dyDescent="0.25">
      <c r="A1" s="175" t="s">
        <v>213</v>
      </c>
      <c r="B1" s="175"/>
      <c r="C1" s="175"/>
      <c r="D1" s="175"/>
      <c r="E1" s="175"/>
      <c r="F1" s="175"/>
      <c r="G1" s="175"/>
      <c r="H1" s="175"/>
      <c r="I1" s="1"/>
      <c r="J1" s="2"/>
      <c r="K1" s="2"/>
      <c r="L1" s="3"/>
    </row>
    <row r="2" spans="1:12" ht="21" x14ac:dyDescent="0.25">
      <c r="A2" s="1"/>
      <c r="B2" s="4"/>
      <c r="C2" s="5" t="s">
        <v>1</v>
      </c>
      <c r="D2" s="1"/>
      <c r="E2" s="1"/>
      <c r="F2" s="3"/>
      <c r="G2" s="3"/>
      <c r="H2" s="1"/>
      <c r="I2" s="1"/>
      <c r="J2" s="2"/>
      <c r="K2" s="2"/>
      <c r="L2" s="3"/>
    </row>
    <row r="3" spans="1:12" x14ac:dyDescent="0.25">
      <c r="A3" s="1"/>
      <c r="B3" s="5"/>
      <c r="C3" s="6"/>
      <c r="D3" s="5" t="s">
        <v>2</v>
      </c>
      <c r="E3" s="3"/>
      <c r="F3" s="7" t="s">
        <v>3</v>
      </c>
      <c r="G3" s="8">
        <v>3.5000000000000003E-2</v>
      </c>
      <c r="H3" s="3"/>
      <c r="I3" s="3"/>
      <c r="J3" s="2"/>
      <c r="K3" s="2"/>
      <c r="L3" s="3"/>
    </row>
    <row r="4" spans="1:12" x14ac:dyDescent="0.25">
      <c r="A4" s="1"/>
      <c r="B4" s="5"/>
      <c r="C4" s="9"/>
      <c r="D4" s="5" t="s">
        <v>4</v>
      </c>
      <c r="E4" s="3"/>
      <c r="F4" s="1"/>
      <c r="G4" s="1"/>
      <c r="H4" s="3"/>
      <c r="I4" s="3"/>
      <c r="J4" s="2"/>
      <c r="K4" s="2"/>
      <c r="L4" s="3"/>
    </row>
    <row r="5" spans="1:12" x14ac:dyDescent="0.25">
      <c r="A5" s="1"/>
      <c r="B5" s="5"/>
      <c r="C5" s="10"/>
      <c r="D5" s="5" t="s">
        <v>5</v>
      </c>
      <c r="E5" s="1"/>
      <c r="F5" s="3"/>
      <c r="G5" s="3"/>
      <c r="H5" s="1"/>
      <c r="I5" s="1"/>
      <c r="J5" s="2"/>
      <c r="K5" s="2"/>
      <c r="L5" s="3"/>
    </row>
    <row r="6" spans="1:12" x14ac:dyDescent="0.25">
      <c r="A6" s="1"/>
      <c r="B6" s="5"/>
      <c r="C6" s="1"/>
      <c r="D6" s="1"/>
      <c r="E6" s="1"/>
      <c r="F6" s="11"/>
      <c r="G6" s="5"/>
      <c r="H6" s="1"/>
      <c r="I6" s="1"/>
      <c r="J6" s="2"/>
      <c r="K6" s="2"/>
      <c r="L6" s="3"/>
    </row>
    <row r="7" spans="1:12" ht="15.75" x14ac:dyDescent="0.25">
      <c r="A7" s="182" t="s">
        <v>6</v>
      </c>
      <c r="B7" s="183"/>
      <c r="C7" s="183"/>
      <c r="D7" s="184"/>
      <c r="E7" s="1"/>
      <c r="F7" s="176"/>
      <c r="G7" s="176"/>
      <c r="H7" s="2"/>
      <c r="I7" s="3"/>
      <c r="J7" s="3"/>
      <c r="K7" s="3"/>
      <c r="L7" s="3"/>
    </row>
    <row r="8" spans="1:12" ht="30" x14ac:dyDescent="0.25">
      <c r="A8" s="12" t="s">
        <v>7</v>
      </c>
      <c r="B8" s="13"/>
      <c r="C8" s="14" t="s">
        <v>8</v>
      </c>
      <c r="D8" s="15" t="s">
        <v>9</v>
      </c>
      <c r="E8" s="16"/>
      <c r="F8" s="121" t="s">
        <v>104</v>
      </c>
      <c r="G8" s="17" t="s">
        <v>10</v>
      </c>
      <c r="H8" s="16"/>
      <c r="I8" s="18"/>
      <c r="J8" s="18"/>
      <c r="K8" s="18"/>
      <c r="L8" s="18"/>
    </row>
    <row r="9" spans="1:12" x14ac:dyDescent="0.25">
      <c r="A9" s="19" t="s">
        <v>11</v>
      </c>
      <c r="B9" s="172" t="s">
        <v>12</v>
      </c>
      <c r="C9" s="173"/>
      <c r="D9" s="174"/>
      <c r="E9" s="2"/>
      <c r="F9" s="20"/>
      <c r="G9" s="21" t="s">
        <v>13</v>
      </c>
      <c r="H9" s="2"/>
      <c r="I9" s="3"/>
      <c r="J9" s="3"/>
      <c r="K9" s="3"/>
      <c r="L9" s="3"/>
    </row>
    <row r="10" spans="1:12" ht="25.5" x14ac:dyDescent="0.25">
      <c r="A10" s="22">
        <v>1</v>
      </c>
      <c r="B10" s="23" t="s">
        <v>14</v>
      </c>
      <c r="C10" s="24">
        <v>39453260</v>
      </c>
      <c r="D10" s="23" t="s">
        <v>192</v>
      </c>
      <c r="E10" s="2"/>
      <c r="F10" s="25">
        <v>0.1</v>
      </c>
      <c r="G10" s="26">
        <f>C10*(1-F10)^5</f>
        <v>23296755.497400008</v>
      </c>
      <c r="H10" s="2"/>
      <c r="I10" s="3"/>
      <c r="J10" s="3"/>
      <c r="K10" s="3"/>
      <c r="L10" s="3"/>
    </row>
    <row r="11" spans="1:12" ht="51" x14ac:dyDescent="0.25">
      <c r="A11" s="27">
        <v>2</v>
      </c>
      <c r="B11" s="23" t="s">
        <v>15</v>
      </c>
      <c r="C11" s="24">
        <f>11472600+12431000+3066368+1240000</f>
        <v>28209968</v>
      </c>
      <c r="D11" s="23" t="s">
        <v>193</v>
      </c>
      <c r="E11" s="2"/>
      <c r="F11" s="25">
        <v>0.05</v>
      </c>
      <c r="G11" s="26">
        <f>C11*(1-F11)^5</f>
        <v>21828335.485884998</v>
      </c>
      <c r="H11" s="2"/>
      <c r="I11" s="3"/>
      <c r="J11" s="3"/>
      <c r="K11" s="3"/>
      <c r="L11" s="3"/>
    </row>
    <row r="12" spans="1:12" ht="25.5" x14ac:dyDescent="0.25">
      <c r="A12" s="27">
        <v>3</v>
      </c>
      <c r="B12" s="23" t="s">
        <v>13</v>
      </c>
      <c r="C12" s="24">
        <v>577900</v>
      </c>
      <c r="D12" s="23" t="s">
        <v>194</v>
      </c>
      <c r="E12" s="2"/>
      <c r="F12" s="25">
        <v>0.2</v>
      </c>
      <c r="G12" s="26">
        <f>C12*(1-F12)^5</f>
        <v>189366.27200000011</v>
      </c>
      <c r="H12" s="2"/>
      <c r="I12" s="3"/>
      <c r="J12" s="3"/>
      <c r="K12" s="3"/>
      <c r="L12" s="3"/>
    </row>
    <row r="13" spans="1:12" ht="38.25" x14ac:dyDescent="0.25">
      <c r="A13" s="27">
        <v>4</v>
      </c>
      <c r="B13" s="23" t="s">
        <v>208</v>
      </c>
      <c r="C13" s="24">
        <f>250000*8</f>
        <v>2000000</v>
      </c>
      <c r="D13" s="23" t="s">
        <v>209</v>
      </c>
      <c r="E13" s="2"/>
      <c r="F13" s="25">
        <v>0.2</v>
      </c>
      <c r="G13" s="26">
        <f t="shared" ref="G13:G14" si="0">C13*(1-F13)^5</f>
        <v>655360.00000000035</v>
      </c>
      <c r="H13" s="2"/>
      <c r="I13" s="3"/>
      <c r="J13" s="3"/>
      <c r="K13" s="3"/>
      <c r="L13" s="3"/>
    </row>
    <row r="14" spans="1:12" ht="25.5" x14ac:dyDescent="0.25">
      <c r="A14" s="27">
        <v>5</v>
      </c>
      <c r="B14" s="23" t="s">
        <v>210</v>
      </c>
      <c r="C14" s="24">
        <f>4*1067000+4*290000</f>
        <v>5428000</v>
      </c>
      <c r="D14" s="23" t="s">
        <v>211</v>
      </c>
      <c r="E14" s="2"/>
      <c r="F14" s="25">
        <v>0.2</v>
      </c>
      <c r="G14" s="26">
        <f t="shared" si="0"/>
        <v>1778647.040000001</v>
      </c>
      <c r="H14" s="2"/>
      <c r="I14" s="3"/>
      <c r="J14" s="3"/>
      <c r="K14" s="3"/>
      <c r="L14" s="3"/>
    </row>
    <row r="15" spans="1:12" x14ac:dyDescent="0.25">
      <c r="A15" s="29"/>
      <c r="B15" s="30"/>
      <c r="C15" s="31">
        <f>SUM(C10:C14)</f>
        <v>75669128</v>
      </c>
      <c r="D15" s="32"/>
      <c r="E15" s="2"/>
      <c r="F15" s="33"/>
      <c r="G15" s="34" t="s">
        <v>18</v>
      </c>
      <c r="H15" s="2"/>
      <c r="I15" s="3"/>
      <c r="J15" s="3"/>
      <c r="K15" s="3"/>
      <c r="L15" s="3"/>
    </row>
    <row r="16" spans="1:12" x14ac:dyDescent="0.25">
      <c r="A16" s="19" t="s">
        <v>11</v>
      </c>
      <c r="B16" s="177" t="s">
        <v>19</v>
      </c>
      <c r="C16" s="177"/>
      <c r="D16" s="177"/>
      <c r="E16" s="2"/>
      <c r="F16" s="20"/>
      <c r="G16" s="35"/>
      <c r="H16" s="2"/>
      <c r="I16" s="3"/>
      <c r="J16" s="3"/>
      <c r="K16" s="3"/>
      <c r="L16" s="3"/>
    </row>
    <row r="17" spans="1:12" x14ac:dyDescent="0.25">
      <c r="A17" s="22">
        <v>1</v>
      </c>
      <c r="B17" s="23" t="s">
        <v>20</v>
      </c>
      <c r="C17" s="24">
        <v>19300000</v>
      </c>
      <c r="D17" s="23"/>
      <c r="E17" s="2"/>
      <c r="F17" s="33"/>
      <c r="G17" s="34" t="s">
        <v>18</v>
      </c>
      <c r="H17" s="2"/>
      <c r="I17" s="3"/>
      <c r="J17" s="3"/>
      <c r="K17" s="3"/>
      <c r="L17" s="3"/>
    </row>
    <row r="18" spans="1:12" x14ac:dyDescent="0.25">
      <c r="A18" s="22">
        <v>2</v>
      </c>
      <c r="B18" s="36"/>
      <c r="C18" s="37">
        <f>SUM(C17)</f>
        <v>19300000</v>
      </c>
      <c r="D18" s="38"/>
      <c r="E18" s="39"/>
      <c r="F18" s="33"/>
      <c r="G18" s="34" t="s">
        <v>18</v>
      </c>
      <c r="H18" s="2"/>
      <c r="I18" s="3"/>
      <c r="J18" s="3"/>
      <c r="K18" s="3"/>
      <c r="L18" s="3"/>
    </row>
    <row r="19" spans="1:12" x14ac:dyDescent="0.25">
      <c r="A19" s="19" t="s">
        <v>11</v>
      </c>
      <c r="B19" s="172" t="s">
        <v>22</v>
      </c>
      <c r="C19" s="173"/>
      <c r="D19" s="174"/>
      <c r="E19" s="2"/>
      <c r="F19" s="20"/>
      <c r="G19" s="35"/>
      <c r="H19" s="2"/>
      <c r="I19" s="3"/>
      <c r="J19" s="3"/>
      <c r="K19" s="3"/>
      <c r="L19" s="3"/>
    </row>
    <row r="20" spans="1:12" x14ac:dyDescent="0.25">
      <c r="A20" s="22">
        <v>1</v>
      </c>
      <c r="B20" s="23" t="s">
        <v>23</v>
      </c>
      <c r="C20" s="24">
        <v>0</v>
      </c>
      <c r="D20" s="40" t="s">
        <v>195</v>
      </c>
      <c r="E20" s="2"/>
      <c r="F20" s="33"/>
      <c r="G20" s="34" t="s">
        <v>18</v>
      </c>
      <c r="H20" s="2"/>
      <c r="I20" s="3"/>
      <c r="J20" s="3"/>
      <c r="K20" s="3"/>
      <c r="L20" s="3"/>
    </row>
    <row r="21" spans="1:12" x14ac:dyDescent="0.25">
      <c r="A21" s="22">
        <v>2</v>
      </c>
      <c r="B21" s="23" t="s">
        <v>115</v>
      </c>
      <c r="C21" s="24">
        <v>0</v>
      </c>
      <c r="D21" s="40"/>
      <c r="E21" s="2"/>
      <c r="F21" s="33"/>
      <c r="G21" s="34" t="s">
        <v>18</v>
      </c>
      <c r="H21" s="2"/>
      <c r="I21" s="3"/>
      <c r="J21" s="3"/>
      <c r="K21" s="3"/>
      <c r="L21" s="3"/>
    </row>
    <row r="22" spans="1:12" x14ac:dyDescent="0.25">
      <c r="A22" s="165"/>
      <c r="B22" s="166"/>
      <c r="C22" s="41">
        <f>SUM(C20:C21)</f>
        <v>0</v>
      </c>
      <c r="D22" s="3"/>
      <c r="E22" s="42"/>
      <c r="F22" s="33"/>
      <c r="G22" s="43">
        <f>SUM(G10:G21)</f>
        <v>47748464.295285009</v>
      </c>
      <c r="H22" s="3"/>
      <c r="I22" s="2"/>
      <c r="J22" s="3"/>
      <c r="K22" s="3"/>
      <c r="L22" s="3"/>
    </row>
    <row r="23" spans="1:12" x14ac:dyDescent="0.25">
      <c r="A23" s="44"/>
      <c r="B23" s="45" t="s">
        <v>26</v>
      </c>
      <c r="C23" s="46">
        <f>SUM(C15+C18+C22)</f>
        <v>94969128</v>
      </c>
      <c r="D23" s="3"/>
      <c r="E23" s="3"/>
      <c r="F23" s="3"/>
      <c r="G23" s="2"/>
      <c r="H23" s="2"/>
      <c r="I23" s="2"/>
      <c r="J23" s="2"/>
      <c r="K23" s="2"/>
      <c r="L23" s="3"/>
    </row>
    <row r="24" spans="1:12" x14ac:dyDescent="0.25">
      <c r="A24" s="47"/>
      <c r="B24" s="48"/>
      <c r="C24" s="42"/>
      <c r="D24" s="49"/>
      <c r="E24" s="50"/>
      <c r="F24" s="50"/>
      <c r="G24" s="51"/>
      <c r="H24" s="52"/>
      <c r="I24" s="2"/>
      <c r="J24" s="2"/>
      <c r="K24" s="2"/>
      <c r="L24" s="3"/>
    </row>
    <row r="25" spans="1:12" x14ac:dyDescent="0.25">
      <c r="A25" s="1"/>
      <c r="B25" s="48"/>
      <c r="C25" s="1"/>
      <c r="D25" s="1"/>
      <c r="E25" s="1"/>
      <c r="F25" s="1"/>
      <c r="G25" s="1"/>
      <c r="H25" s="2"/>
      <c r="I25" s="1"/>
      <c r="J25" s="2"/>
      <c r="K25" s="2"/>
      <c r="L25" s="3"/>
    </row>
    <row r="26" spans="1:12" ht="15.75" x14ac:dyDescent="0.25">
      <c r="A26" s="189" t="s">
        <v>27</v>
      </c>
      <c r="B26" s="189"/>
      <c r="C26" s="189"/>
      <c r="D26" s="189"/>
      <c r="E26" s="189"/>
      <c r="F26" s="189"/>
      <c r="G26" s="189"/>
      <c r="H26" s="189"/>
      <c r="I26" s="189"/>
      <c r="J26" s="189"/>
      <c r="K26" s="189"/>
      <c r="L26" s="54"/>
    </row>
    <row r="27" spans="1:12" x14ac:dyDescent="0.25">
      <c r="A27" s="167" t="s">
        <v>11</v>
      </c>
      <c r="B27" s="167" t="s">
        <v>28</v>
      </c>
      <c r="C27" s="167" t="s">
        <v>29</v>
      </c>
      <c r="D27" s="167" t="s">
        <v>118</v>
      </c>
      <c r="E27" s="55" t="s">
        <v>31</v>
      </c>
      <c r="F27" s="56" t="s">
        <v>32</v>
      </c>
      <c r="G27" s="56" t="s">
        <v>33</v>
      </c>
      <c r="H27" s="56" t="s">
        <v>34</v>
      </c>
      <c r="I27" s="56" t="s">
        <v>35</v>
      </c>
      <c r="J27" s="56" t="s">
        <v>36</v>
      </c>
      <c r="K27" s="56" t="s">
        <v>37</v>
      </c>
      <c r="L27" s="2"/>
    </row>
    <row r="28" spans="1:12" x14ac:dyDescent="0.25">
      <c r="A28" s="168"/>
      <c r="B28" s="168"/>
      <c r="C28" s="168"/>
      <c r="D28" s="168"/>
      <c r="E28" s="197" t="s">
        <v>39</v>
      </c>
      <c r="F28" s="197"/>
      <c r="G28" s="197"/>
      <c r="H28" s="197"/>
      <c r="I28" s="197"/>
      <c r="J28" s="197"/>
      <c r="K28" s="197"/>
      <c r="L28" s="3"/>
    </row>
    <row r="29" spans="1:12" x14ac:dyDescent="0.25">
      <c r="A29" s="59">
        <v>1</v>
      </c>
      <c r="B29" s="60" t="s">
        <v>196</v>
      </c>
      <c r="C29" s="9"/>
      <c r="D29" s="62">
        <f>25000</f>
        <v>25000</v>
      </c>
      <c r="E29" s="62">
        <v>3777732</v>
      </c>
      <c r="F29" s="63">
        <v>10275432</v>
      </c>
      <c r="G29" s="63">
        <v>12592441</v>
      </c>
      <c r="H29" s="63">
        <v>15110929</v>
      </c>
      <c r="I29" s="63">
        <v>21608628</v>
      </c>
      <c r="J29" s="63">
        <v>32412932</v>
      </c>
      <c r="K29" s="63">
        <v>32412932</v>
      </c>
      <c r="L29" s="120"/>
    </row>
    <row r="30" spans="1:12" x14ac:dyDescent="0.25">
      <c r="A30" s="59">
        <v>2</v>
      </c>
      <c r="B30" s="60" t="s">
        <v>197</v>
      </c>
      <c r="C30" s="9"/>
      <c r="D30" s="62">
        <f>100000</f>
        <v>100000</v>
      </c>
      <c r="E30" s="62">
        <v>3022386</v>
      </c>
      <c r="F30" s="63">
        <v>8059162</v>
      </c>
      <c r="G30" s="63">
        <v>10073953</v>
      </c>
      <c r="H30" s="63">
        <v>12088743</v>
      </c>
      <c r="I30" s="63">
        <v>17286902</v>
      </c>
      <c r="J30" s="63">
        <v>25930354</v>
      </c>
      <c r="K30" s="63">
        <v>25930354</v>
      </c>
      <c r="L30" s="65"/>
    </row>
    <row r="31" spans="1:12" x14ac:dyDescent="0.25">
      <c r="A31" s="59">
        <v>3</v>
      </c>
      <c r="B31" s="78" t="s">
        <v>198</v>
      </c>
      <c r="C31" s="9"/>
      <c r="D31" s="62">
        <f>5000</f>
        <v>5000</v>
      </c>
      <c r="E31" s="62">
        <v>186067</v>
      </c>
      <c r="F31" s="63">
        <v>496180</v>
      </c>
      <c r="G31" s="63">
        <v>620225</v>
      </c>
      <c r="H31" s="63">
        <v>744270</v>
      </c>
      <c r="I31" s="63">
        <v>1064306</v>
      </c>
      <c r="J31" s="63">
        <v>1596458</v>
      </c>
      <c r="K31" s="63">
        <v>1596458</v>
      </c>
      <c r="L31" s="2"/>
    </row>
    <row r="32" spans="1:12" x14ac:dyDescent="0.25">
      <c r="A32" s="107">
        <v>4</v>
      </c>
      <c r="B32" s="60" t="s">
        <v>199</v>
      </c>
      <c r="C32" s="9"/>
      <c r="D32" s="62">
        <f>3000</f>
        <v>3000</v>
      </c>
      <c r="E32" s="62">
        <v>133969</v>
      </c>
      <c r="F32" s="63">
        <v>357249</v>
      </c>
      <c r="G32" s="63">
        <v>446562</v>
      </c>
      <c r="H32" s="63">
        <v>535874</v>
      </c>
      <c r="I32" s="63">
        <v>766300</v>
      </c>
      <c r="J32" s="63">
        <v>1149450</v>
      </c>
      <c r="K32" s="63">
        <v>1149450</v>
      </c>
      <c r="L32" s="2"/>
    </row>
    <row r="33" spans="1:12" x14ac:dyDescent="0.25">
      <c r="A33" s="118">
        <v>5</v>
      </c>
      <c r="B33" s="119" t="s">
        <v>200</v>
      </c>
      <c r="C33" s="9"/>
      <c r="D33" s="62">
        <f>5000</f>
        <v>5000</v>
      </c>
      <c r="E33" s="62">
        <f>186067</f>
        <v>186067</v>
      </c>
      <c r="F33" s="63">
        <v>496180</v>
      </c>
      <c r="G33" s="63">
        <v>620225</v>
      </c>
      <c r="H33" s="63">
        <v>744270</v>
      </c>
      <c r="I33" s="63">
        <v>1064306</v>
      </c>
      <c r="J33" s="63">
        <v>1596458</v>
      </c>
      <c r="K33" s="63">
        <v>1596458</v>
      </c>
      <c r="L33" s="2"/>
    </row>
    <row r="34" spans="1:12" x14ac:dyDescent="0.25">
      <c r="A34" s="118">
        <v>6</v>
      </c>
      <c r="B34" s="119" t="s">
        <v>201</v>
      </c>
      <c r="C34" s="9"/>
      <c r="D34" s="62">
        <v>4000000</v>
      </c>
      <c r="E34" s="62">
        <v>4000000</v>
      </c>
      <c r="F34" s="63">
        <v>0</v>
      </c>
      <c r="G34" s="63">
        <v>0</v>
      </c>
      <c r="H34" s="63">
        <v>0</v>
      </c>
      <c r="I34" s="63">
        <v>0</v>
      </c>
      <c r="J34" s="63">
        <v>0</v>
      </c>
      <c r="K34" s="63">
        <v>0</v>
      </c>
      <c r="L34" s="2"/>
    </row>
    <row r="35" spans="1:12" x14ac:dyDescent="0.25">
      <c r="A35" s="5"/>
      <c r="B35" s="156" t="s">
        <v>43</v>
      </c>
      <c r="C35" s="157"/>
      <c r="D35" s="158"/>
      <c r="E35" s="46">
        <f>SUM(E29:E33)</f>
        <v>7306221</v>
      </c>
      <c r="F35" s="46">
        <f>SUM(F29:F33)</f>
        <v>19684203</v>
      </c>
      <c r="G35" s="46">
        <f>SUM(G29:G33)</f>
        <v>24353406</v>
      </c>
      <c r="H35" s="46">
        <f>SUM(H29:H33)</f>
        <v>29224086</v>
      </c>
      <c r="I35" s="46">
        <f>SUM(I29:I33)</f>
        <v>41790442</v>
      </c>
      <c r="J35" s="46">
        <f t="shared" ref="J35:K35" si="1">SUM(J29:J33)</f>
        <v>62685652</v>
      </c>
      <c r="K35" s="46">
        <f t="shared" si="1"/>
        <v>62685652</v>
      </c>
      <c r="L35" s="3"/>
    </row>
    <row r="36" spans="1:12" x14ac:dyDescent="0.25">
      <c r="A36" s="2"/>
      <c r="B36" s="48"/>
      <c r="C36" s="67"/>
      <c r="D36" s="68"/>
      <c r="E36" s="68"/>
      <c r="F36" s="68"/>
      <c r="G36" s="68"/>
      <c r="H36" s="68"/>
      <c r="I36" s="1"/>
      <c r="J36" s="11"/>
      <c r="K36" s="66"/>
      <c r="L36" s="2"/>
    </row>
    <row r="37" spans="1:12" x14ac:dyDescent="0.25">
      <c r="A37" s="2"/>
      <c r="B37" s="69"/>
      <c r="C37" s="67"/>
      <c r="D37" s="68"/>
      <c r="E37" s="3"/>
      <c r="F37" s="68"/>
      <c r="G37" s="68"/>
      <c r="H37" s="68"/>
      <c r="I37" s="1"/>
      <c r="J37" s="11"/>
      <c r="K37" s="3"/>
      <c r="L37" s="2"/>
    </row>
    <row r="38" spans="1:12" ht="15.75" x14ac:dyDescent="0.25">
      <c r="A38" s="189" t="s">
        <v>44</v>
      </c>
      <c r="B38" s="189"/>
      <c r="C38" s="189"/>
      <c r="D38" s="189"/>
      <c r="E38" s="189"/>
      <c r="F38" s="189"/>
      <c r="G38" s="189"/>
      <c r="H38" s="189"/>
      <c r="I38" s="189"/>
      <c r="J38" s="189"/>
      <c r="K38" s="189"/>
      <c r="L38" s="189"/>
    </row>
    <row r="39" spans="1:12" x14ac:dyDescent="0.25">
      <c r="A39" s="56" t="s">
        <v>11</v>
      </c>
      <c r="B39" s="70" t="s">
        <v>7</v>
      </c>
      <c r="C39" s="71" t="s">
        <v>45</v>
      </c>
      <c r="D39" s="71" t="s">
        <v>46</v>
      </c>
      <c r="E39" s="55" t="s">
        <v>31</v>
      </c>
      <c r="F39" s="56" t="s">
        <v>32</v>
      </c>
      <c r="G39" s="56" t="s">
        <v>33</v>
      </c>
      <c r="H39" s="56" t="s">
        <v>34</v>
      </c>
      <c r="I39" s="56" t="s">
        <v>35</v>
      </c>
      <c r="J39" s="56" t="s">
        <v>36</v>
      </c>
      <c r="K39" s="56" t="s">
        <v>37</v>
      </c>
      <c r="L39" s="14" t="s">
        <v>9</v>
      </c>
    </row>
    <row r="40" spans="1:12" x14ac:dyDescent="0.25">
      <c r="A40" s="101"/>
      <c r="B40" s="163" t="s">
        <v>47</v>
      </c>
      <c r="C40" s="163"/>
      <c r="D40" s="163"/>
      <c r="E40" s="163"/>
      <c r="F40" s="163"/>
      <c r="G40" s="163"/>
      <c r="H40" s="163"/>
      <c r="I40" s="163"/>
      <c r="J40" s="163"/>
      <c r="K40" s="163"/>
      <c r="L40" s="164"/>
    </row>
    <row r="41" spans="1:12" x14ac:dyDescent="0.25">
      <c r="A41" s="59" t="s">
        <v>48</v>
      </c>
      <c r="B41" s="74" t="s">
        <v>124</v>
      </c>
      <c r="C41" s="9"/>
      <c r="D41" s="24"/>
      <c r="E41" s="75">
        <f t="shared" ref="E41:E51" si="2">C41*D41</f>
        <v>0</v>
      </c>
      <c r="F41" s="75">
        <f>E41*(1+$G$3)</f>
        <v>0</v>
      </c>
      <c r="G41" s="75">
        <f>F41*(1+$G$3)</f>
        <v>0</v>
      </c>
      <c r="H41" s="75">
        <f>G41*(1+$G$3)</f>
        <v>0</v>
      </c>
      <c r="I41" s="75">
        <f>H41*(1+$G$3)</f>
        <v>0</v>
      </c>
      <c r="J41" s="75">
        <f t="shared" ref="J41:K41" si="3">I41*(1+$G$3)</f>
        <v>0</v>
      </c>
      <c r="K41" s="75">
        <f t="shared" si="3"/>
        <v>0</v>
      </c>
      <c r="L41" s="76"/>
    </row>
    <row r="42" spans="1:12" x14ac:dyDescent="0.25">
      <c r="A42" s="59" t="s">
        <v>51</v>
      </c>
      <c r="B42" s="74" t="s">
        <v>55</v>
      </c>
      <c r="C42" s="9"/>
      <c r="D42" s="24"/>
      <c r="E42" s="75">
        <f t="shared" si="2"/>
        <v>0</v>
      </c>
      <c r="F42" s="75">
        <f>E42*(1+$G$3)</f>
        <v>0</v>
      </c>
      <c r="G42" s="75">
        <f>F42*(1+$G$3)</f>
        <v>0</v>
      </c>
      <c r="H42" s="75"/>
      <c r="I42" s="75"/>
      <c r="J42" s="75"/>
      <c r="K42" s="75"/>
      <c r="L42" s="10"/>
    </row>
    <row r="43" spans="1:12" x14ac:dyDescent="0.25">
      <c r="A43" s="59" t="s">
        <v>54</v>
      </c>
      <c r="B43" s="60" t="s">
        <v>136</v>
      </c>
      <c r="C43" s="9">
        <v>1</v>
      </c>
      <c r="D43" s="24">
        <v>400000</v>
      </c>
      <c r="E43" s="75">
        <f t="shared" si="2"/>
        <v>400000</v>
      </c>
      <c r="F43" s="75">
        <f>E43*(1+$G$3)</f>
        <v>413999.99999999994</v>
      </c>
      <c r="G43" s="75">
        <f>F43*(1+$G$3)</f>
        <v>428489.99999999988</v>
      </c>
      <c r="H43" s="75">
        <f>G43*(1+$G$3)</f>
        <v>443487.14999999985</v>
      </c>
      <c r="I43" s="75">
        <f>H43*(1+$G$3)</f>
        <v>459009.20024999982</v>
      </c>
      <c r="J43" s="75">
        <f t="shared" ref="J43:K43" si="4">I43*(1+$G$3)</f>
        <v>475074.52225874976</v>
      </c>
      <c r="K43" s="75">
        <f t="shared" si="4"/>
        <v>491702.13053780596</v>
      </c>
      <c r="L43" s="76" t="s">
        <v>202</v>
      </c>
    </row>
    <row r="44" spans="1:12" x14ac:dyDescent="0.25">
      <c r="A44" s="59" t="s">
        <v>57</v>
      </c>
      <c r="B44" s="60"/>
      <c r="C44" s="9"/>
      <c r="D44" s="24"/>
      <c r="E44" s="75">
        <f t="shared" si="2"/>
        <v>0</v>
      </c>
      <c r="F44" s="75">
        <f>D44*C44</f>
        <v>0</v>
      </c>
      <c r="G44" s="75">
        <f>F44*(1+$G$3)</f>
        <v>0</v>
      </c>
      <c r="H44" s="75">
        <f t="shared" ref="H44:K44" si="5">G44</f>
        <v>0</v>
      </c>
      <c r="I44" s="75">
        <f t="shared" si="5"/>
        <v>0</v>
      </c>
      <c r="J44" s="75">
        <f t="shared" si="5"/>
        <v>0</v>
      </c>
      <c r="K44" s="75">
        <f t="shared" si="5"/>
        <v>0</v>
      </c>
      <c r="L44" s="10"/>
    </row>
    <row r="45" spans="1:12" x14ac:dyDescent="0.25">
      <c r="A45" s="56">
        <v>2</v>
      </c>
      <c r="B45" s="140" t="s">
        <v>60</v>
      </c>
      <c r="C45" s="141"/>
      <c r="D45" s="141"/>
      <c r="E45" s="141"/>
      <c r="F45" s="141"/>
      <c r="G45" s="141"/>
      <c r="H45" s="141"/>
      <c r="I45" s="141"/>
      <c r="J45" s="141"/>
      <c r="K45" s="141"/>
      <c r="L45" s="142"/>
    </row>
    <row r="46" spans="1:12" ht="38.25" x14ac:dyDescent="0.25">
      <c r="A46" s="59" t="s">
        <v>48</v>
      </c>
      <c r="B46" s="78" t="s">
        <v>61</v>
      </c>
      <c r="C46" s="9">
        <v>1</v>
      </c>
      <c r="D46" s="24">
        <f>350000*12+350000*3</f>
        <v>5250000</v>
      </c>
      <c r="E46" s="75">
        <f>C46*D46</f>
        <v>5250000</v>
      </c>
      <c r="F46" s="75">
        <f>E46*(1+$G$3)</f>
        <v>5433750</v>
      </c>
      <c r="G46" s="75">
        <f>F46*(1+$G$3)</f>
        <v>5623931.25</v>
      </c>
      <c r="H46" s="75">
        <f>G46*(1+$G$3)</f>
        <v>5820768.84375</v>
      </c>
      <c r="I46" s="75">
        <f>H46*(1+$G$3)</f>
        <v>6024495.7532812497</v>
      </c>
      <c r="J46" s="75">
        <f t="shared" ref="J46:K47" si="6">I46*(1+$G$3)</f>
        <v>6235353.1046460932</v>
      </c>
      <c r="K46" s="75">
        <f t="shared" si="6"/>
        <v>6453590.4633087059</v>
      </c>
      <c r="L46" s="76" t="s">
        <v>203</v>
      </c>
    </row>
    <row r="47" spans="1:12" x14ac:dyDescent="0.25">
      <c r="A47" s="56" t="s">
        <v>51</v>
      </c>
      <c r="B47" s="74" t="s">
        <v>204</v>
      </c>
      <c r="C47" s="9"/>
      <c r="D47" s="24"/>
      <c r="E47" s="75">
        <f t="shared" ref="E47" si="7">C47*D47</f>
        <v>0</v>
      </c>
      <c r="F47" s="75">
        <f>D47*C47</f>
        <v>0</v>
      </c>
      <c r="G47" s="75">
        <f t="shared" ref="G47:I47" si="8">F47*(1+$G$3)</f>
        <v>0</v>
      </c>
      <c r="H47" s="75">
        <f t="shared" si="8"/>
        <v>0</v>
      </c>
      <c r="I47" s="75">
        <f t="shared" si="8"/>
        <v>0</v>
      </c>
      <c r="J47" s="75">
        <f t="shared" si="6"/>
        <v>0</v>
      </c>
      <c r="K47" s="75">
        <f t="shared" si="6"/>
        <v>0</v>
      </c>
      <c r="L47" s="76"/>
    </row>
    <row r="48" spans="1:12" ht="38.25" x14ac:dyDescent="0.25">
      <c r="A48" s="56" t="s">
        <v>54</v>
      </c>
      <c r="B48" s="74" t="s">
        <v>205</v>
      </c>
      <c r="C48" s="9">
        <v>1</v>
      </c>
      <c r="D48" s="24">
        <v>2029897</v>
      </c>
      <c r="E48" s="75"/>
      <c r="F48" s="75">
        <v>2029897</v>
      </c>
      <c r="G48" s="75">
        <v>2029897</v>
      </c>
      <c r="H48" s="75">
        <v>2029897</v>
      </c>
      <c r="I48" s="75">
        <v>2029897</v>
      </c>
      <c r="J48" s="75">
        <v>2029897</v>
      </c>
      <c r="K48" s="75">
        <v>2029897</v>
      </c>
      <c r="L48" s="76" t="s">
        <v>206</v>
      </c>
    </row>
    <row r="49" spans="1:12" x14ac:dyDescent="0.25">
      <c r="A49" s="56">
        <v>3</v>
      </c>
      <c r="B49" s="162" t="s">
        <v>207</v>
      </c>
      <c r="C49" s="163"/>
      <c r="D49" s="163"/>
      <c r="E49" s="163"/>
      <c r="F49" s="163"/>
      <c r="G49" s="163"/>
      <c r="H49" s="163"/>
      <c r="I49" s="163"/>
      <c r="J49" s="163"/>
      <c r="K49" s="163"/>
      <c r="L49" s="164"/>
    </row>
    <row r="50" spans="1:12" x14ac:dyDescent="0.25">
      <c r="A50" s="59" t="s">
        <v>48</v>
      </c>
      <c r="B50" s="78" t="s">
        <v>133</v>
      </c>
      <c r="C50" s="9"/>
      <c r="D50" s="24"/>
      <c r="E50" s="75">
        <f t="shared" si="2"/>
        <v>0</v>
      </c>
      <c r="F50" s="75"/>
      <c r="G50" s="75">
        <f t="shared" ref="F50:K51" si="9">F50*(1+$G$3)</f>
        <v>0</v>
      </c>
      <c r="H50" s="75"/>
      <c r="I50" s="75"/>
      <c r="J50" s="75"/>
      <c r="K50" s="75"/>
      <c r="L50" s="76"/>
    </row>
    <row r="51" spans="1:12" x14ac:dyDescent="0.25">
      <c r="A51" s="59" t="s">
        <v>51</v>
      </c>
      <c r="B51" s="78" t="s">
        <v>77</v>
      </c>
      <c r="C51" s="9"/>
      <c r="D51" s="24"/>
      <c r="E51" s="75">
        <f t="shared" si="2"/>
        <v>0</v>
      </c>
      <c r="F51" s="75">
        <f t="shared" si="9"/>
        <v>0</v>
      </c>
      <c r="G51" s="75">
        <f t="shared" si="9"/>
        <v>0</v>
      </c>
      <c r="H51" s="75">
        <f t="shared" si="9"/>
        <v>0</v>
      </c>
      <c r="I51" s="75">
        <f t="shared" si="9"/>
        <v>0</v>
      </c>
      <c r="J51" s="75">
        <f t="shared" si="9"/>
        <v>0</v>
      </c>
      <c r="K51" s="75">
        <f t="shared" si="9"/>
        <v>0</v>
      </c>
      <c r="L51" s="76"/>
    </row>
    <row r="52" spans="1:12" x14ac:dyDescent="0.25">
      <c r="A52" s="56"/>
      <c r="B52" s="70" t="s">
        <v>79</v>
      </c>
      <c r="C52" s="70"/>
      <c r="D52" s="70"/>
      <c r="E52" s="46">
        <f>SUM(E41:E51)</f>
        <v>5650000</v>
      </c>
      <c r="F52" s="46">
        <f>SUM(F41:F51)</f>
        <v>7877647</v>
      </c>
      <c r="G52" s="46">
        <f t="shared" ref="G52:K52" si="10">SUM(G41:G51)</f>
        <v>8082318.25</v>
      </c>
      <c r="H52" s="46">
        <f t="shared" si="10"/>
        <v>8294152.9937499994</v>
      </c>
      <c r="I52" s="46">
        <f t="shared" si="10"/>
        <v>8513401.9535312504</v>
      </c>
      <c r="J52" s="46">
        <f t="shared" si="10"/>
        <v>8740324.6269048434</v>
      </c>
      <c r="K52" s="46">
        <f t="shared" si="10"/>
        <v>8975189.5938465111</v>
      </c>
      <c r="L52" s="80"/>
    </row>
    <row r="53" spans="1:12" x14ac:dyDescent="0.25">
      <c r="A53" s="2"/>
      <c r="B53" s="48"/>
      <c r="C53" s="1"/>
      <c r="D53" s="1"/>
      <c r="E53" s="11"/>
      <c r="F53" s="1"/>
      <c r="G53" s="1"/>
      <c r="H53" s="1"/>
      <c r="I53" s="1"/>
      <c r="J53" s="1"/>
      <c r="K53" s="2"/>
      <c r="L53" s="3"/>
    </row>
    <row r="54" spans="1:12" x14ac:dyDescent="0.25">
      <c r="A54" s="2"/>
      <c r="B54" s="2"/>
      <c r="C54" s="81"/>
      <c r="D54" s="2"/>
      <c r="E54" s="2"/>
      <c r="F54" s="2"/>
      <c r="G54" s="2"/>
      <c r="H54" s="2"/>
      <c r="I54" s="2"/>
      <c r="J54" s="2"/>
      <c r="K54" s="2"/>
      <c r="L54" s="3"/>
    </row>
    <row r="55" spans="1:12" x14ac:dyDescent="0.25">
      <c r="A55" s="2"/>
      <c r="B55" s="2"/>
      <c r="C55" s="81"/>
      <c r="D55" s="2"/>
      <c r="E55" s="2"/>
      <c r="F55" s="2"/>
      <c r="G55" s="2"/>
      <c r="H55" s="2"/>
      <c r="I55" s="2"/>
      <c r="J55" s="2"/>
      <c r="K55" s="2"/>
      <c r="L55" s="3"/>
    </row>
    <row r="56" spans="1:12" ht="15.75" x14ac:dyDescent="0.25">
      <c r="A56" s="178" t="s">
        <v>80</v>
      </c>
      <c r="B56" s="179"/>
      <c r="C56" s="179"/>
      <c r="D56" s="179"/>
      <c r="E56" s="179"/>
      <c r="F56" s="179"/>
      <c r="G56" s="179"/>
      <c r="H56" s="180"/>
      <c r="I56" s="2"/>
      <c r="J56" s="2"/>
      <c r="K56" s="68"/>
      <c r="L56" s="3"/>
    </row>
    <row r="57" spans="1:12" x14ac:dyDescent="0.25">
      <c r="A57" s="56" t="s">
        <v>11</v>
      </c>
      <c r="B57" s="82" t="s">
        <v>81</v>
      </c>
      <c r="C57" s="83" t="s">
        <v>82</v>
      </c>
      <c r="D57" s="84" t="s">
        <v>31</v>
      </c>
      <c r="E57" s="84" t="s">
        <v>32</v>
      </c>
      <c r="F57" s="84" t="s">
        <v>33</v>
      </c>
      <c r="G57" s="84" t="s">
        <v>34</v>
      </c>
      <c r="H57" s="84" t="s">
        <v>35</v>
      </c>
      <c r="I57" s="84" t="s">
        <v>36</v>
      </c>
      <c r="J57" s="84" t="s">
        <v>37</v>
      </c>
      <c r="K57" s="85"/>
      <c r="L57" s="3"/>
    </row>
    <row r="58" spans="1:12" x14ac:dyDescent="0.25">
      <c r="A58" s="59">
        <v>1</v>
      </c>
      <c r="B58" s="86" t="s">
        <v>83</v>
      </c>
      <c r="C58" s="87"/>
      <c r="D58" s="87">
        <f>E35</f>
        <v>7306221</v>
      </c>
      <c r="E58" s="87">
        <f>F35</f>
        <v>19684203</v>
      </c>
      <c r="F58" s="87">
        <f>G35</f>
        <v>24353406</v>
      </c>
      <c r="G58" s="87">
        <f>H35</f>
        <v>29224086</v>
      </c>
      <c r="H58" s="87">
        <f>I35</f>
        <v>41790442</v>
      </c>
      <c r="I58" s="87">
        <f t="shared" ref="I58:J58" si="11">J35</f>
        <v>62685652</v>
      </c>
      <c r="J58" s="87">
        <f t="shared" si="11"/>
        <v>62685652</v>
      </c>
      <c r="K58" s="88"/>
      <c r="L58" s="3"/>
    </row>
    <row r="59" spans="1:12" x14ac:dyDescent="0.25">
      <c r="A59" s="59">
        <v>2</v>
      </c>
      <c r="B59" s="86" t="s">
        <v>84</v>
      </c>
      <c r="C59" s="89"/>
      <c r="D59" s="87">
        <f>E52</f>
        <v>5650000</v>
      </c>
      <c r="E59" s="87">
        <f>F52</f>
        <v>7877647</v>
      </c>
      <c r="F59" s="87">
        <f>G52</f>
        <v>8082318.25</v>
      </c>
      <c r="G59" s="87">
        <f>H52</f>
        <v>8294152.9937499994</v>
      </c>
      <c r="H59" s="87">
        <f>I52</f>
        <v>8513401.9535312504</v>
      </c>
      <c r="I59" s="87">
        <f t="shared" ref="I59:J59" si="12">J52</f>
        <v>8740324.6269048434</v>
      </c>
      <c r="J59" s="87">
        <f t="shared" si="12"/>
        <v>8975189.5938465111</v>
      </c>
      <c r="K59" s="88"/>
      <c r="L59" s="3"/>
    </row>
    <row r="60" spans="1:12" x14ac:dyDescent="0.25">
      <c r="A60" s="59">
        <v>3</v>
      </c>
      <c r="B60" s="86" t="s">
        <v>85</v>
      </c>
      <c r="C60" s="89">
        <f>C23</f>
        <v>94969128</v>
      </c>
      <c r="D60" s="87"/>
      <c r="E60" s="87"/>
      <c r="F60" s="87"/>
      <c r="G60" s="87"/>
      <c r="H60" s="87"/>
      <c r="I60" s="87"/>
      <c r="J60" s="87"/>
      <c r="K60" s="88"/>
      <c r="L60" s="3"/>
    </row>
    <row r="61" spans="1:12" x14ac:dyDescent="0.25">
      <c r="A61" s="59">
        <v>4</v>
      </c>
      <c r="B61" s="86" t="s">
        <v>134</v>
      </c>
      <c r="C61" s="89">
        <f>SUM(E46:E48)/2</f>
        <v>2625000</v>
      </c>
      <c r="D61" s="87"/>
      <c r="E61" s="87"/>
      <c r="F61" s="87"/>
      <c r="G61" s="87"/>
      <c r="H61" s="87"/>
      <c r="I61" s="87"/>
      <c r="J61" s="87"/>
      <c r="K61" s="88"/>
      <c r="L61" s="3"/>
    </row>
    <row r="62" spans="1:12" x14ac:dyDescent="0.25">
      <c r="A62" s="59">
        <v>5</v>
      </c>
      <c r="B62" s="86" t="s">
        <v>87</v>
      </c>
      <c r="C62" s="89"/>
      <c r="D62" s="87"/>
      <c r="E62" s="87"/>
      <c r="F62" s="87"/>
      <c r="G62" s="87"/>
      <c r="H62" s="87"/>
      <c r="I62" s="87"/>
      <c r="J62" s="87">
        <f>G22</f>
        <v>47748464.295285009</v>
      </c>
      <c r="K62" s="88"/>
      <c r="L62" s="3"/>
    </row>
    <row r="63" spans="1:12" x14ac:dyDescent="0.25">
      <c r="A63" s="59">
        <v>6</v>
      </c>
      <c r="B63" s="86" t="s">
        <v>135</v>
      </c>
      <c r="C63" s="89"/>
      <c r="D63" s="87">
        <f>C61</f>
        <v>2625000</v>
      </c>
      <c r="E63" s="87"/>
      <c r="F63" s="87"/>
      <c r="G63" s="87"/>
      <c r="H63" s="87"/>
      <c r="I63" s="87"/>
      <c r="J63" s="87">
        <f>C61</f>
        <v>2625000</v>
      </c>
      <c r="K63" s="88"/>
      <c r="L63" s="3"/>
    </row>
    <row r="64" spans="1:12" x14ac:dyDescent="0.25">
      <c r="A64" s="59"/>
      <c r="B64" s="86" t="s">
        <v>89</v>
      </c>
      <c r="C64" s="89">
        <f>-SUM(C60+C61+C62+C63)</f>
        <v>-97594128</v>
      </c>
      <c r="D64" s="87">
        <f>SUM(D58-D59-D60+D62+D63)</f>
        <v>4281221</v>
      </c>
      <c r="E64" s="87">
        <f t="shared" ref="E64:J64" si="13">SUM(E58-E59-E60+E62+E63)</f>
        <v>11806556</v>
      </c>
      <c r="F64" s="87">
        <f t="shared" si="13"/>
        <v>16271087.75</v>
      </c>
      <c r="G64" s="87">
        <f t="shared" si="13"/>
        <v>20929933.006250001</v>
      </c>
      <c r="H64" s="87">
        <f t="shared" si="13"/>
        <v>33277040.04646875</v>
      </c>
      <c r="I64" s="87">
        <f>SUM(I58-I59-I60+I62+I63)</f>
        <v>53945327.373095155</v>
      </c>
      <c r="J64" s="87">
        <f t="shared" si="13"/>
        <v>104083926.70143849</v>
      </c>
      <c r="K64" s="88"/>
      <c r="L64" s="3"/>
    </row>
    <row r="65" spans="1:12" x14ac:dyDescent="0.25">
      <c r="A65" s="2"/>
      <c r="B65" s="181"/>
      <c r="C65" s="181"/>
      <c r="D65" s="181"/>
      <c r="E65" s="181"/>
      <c r="F65" s="181"/>
      <c r="G65" s="181"/>
      <c r="H65" s="181"/>
      <c r="I65" s="68"/>
      <c r="J65" s="68"/>
      <c r="K65" s="68"/>
      <c r="L65" s="3"/>
    </row>
    <row r="66" spans="1:12" x14ac:dyDescent="0.25">
      <c r="A66" s="2"/>
      <c r="B66" s="2"/>
      <c r="C66" s="2"/>
      <c r="D66" s="2"/>
      <c r="E66" s="2"/>
      <c r="F66" s="2"/>
      <c r="G66" s="2"/>
      <c r="H66" s="2"/>
      <c r="I66" s="68"/>
      <c r="J66" s="68"/>
      <c r="K66" s="68"/>
      <c r="L66" s="3"/>
    </row>
    <row r="67" spans="1:12" x14ac:dyDescent="0.25">
      <c r="A67" s="2"/>
      <c r="B67" s="2"/>
      <c r="C67" s="2"/>
      <c r="D67" s="2"/>
      <c r="E67" s="2"/>
      <c r="F67" s="2"/>
      <c r="G67" s="2"/>
      <c r="H67" s="2"/>
      <c r="I67" s="68"/>
      <c r="J67" s="68"/>
      <c r="K67" s="2"/>
      <c r="L67" s="3"/>
    </row>
    <row r="68" spans="1:12" ht="15.75" x14ac:dyDescent="0.25">
      <c r="A68" s="182" t="s">
        <v>90</v>
      </c>
      <c r="B68" s="183"/>
      <c r="C68" s="184"/>
      <c r="D68" s="2"/>
      <c r="E68" s="2"/>
      <c r="F68" s="2"/>
      <c r="G68" s="90"/>
      <c r="H68" s="2"/>
      <c r="I68" s="2"/>
      <c r="J68" s="2"/>
      <c r="K68" s="2"/>
      <c r="L68" s="3"/>
    </row>
    <row r="69" spans="1:12" x14ac:dyDescent="0.25">
      <c r="A69" s="91" t="s">
        <v>11</v>
      </c>
      <c r="B69" s="92" t="s">
        <v>91</v>
      </c>
      <c r="C69" s="92" t="s">
        <v>92</v>
      </c>
      <c r="D69" s="2"/>
      <c r="E69" s="2"/>
      <c r="F69" s="2"/>
      <c r="G69" s="2"/>
      <c r="H69" s="2"/>
      <c r="I69" s="2"/>
      <c r="J69" s="2"/>
      <c r="K69" s="85"/>
      <c r="L69" s="3"/>
    </row>
    <row r="70" spans="1:12" ht="25.5" x14ac:dyDescent="0.25">
      <c r="A70" s="93">
        <v>1</v>
      </c>
      <c r="B70" s="94" t="s">
        <v>93</v>
      </c>
      <c r="C70" s="95">
        <f>NPV(C74,D64:J64)+C64</f>
        <v>47100176.952578783</v>
      </c>
      <c r="D70" s="3"/>
      <c r="E70" s="3"/>
      <c r="F70" s="3"/>
      <c r="G70" s="3"/>
      <c r="H70" s="3"/>
      <c r="I70" s="3"/>
      <c r="J70" s="3"/>
      <c r="K70" s="88"/>
      <c r="L70" s="3"/>
    </row>
    <row r="71" spans="1:12" ht="25.5" x14ac:dyDescent="0.25">
      <c r="A71" s="93">
        <v>2</v>
      </c>
      <c r="B71" s="94" t="s">
        <v>212</v>
      </c>
      <c r="C71" s="95">
        <f>NPV(C74,D64:J64)</f>
        <v>144694304.95257878</v>
      </c>
      <c r="D71" s="3"/>
      <c r="E71" s="3"/>
      <c r="F71" s="3"/>
      <c r="G71" s="3"/>
      <c r="H71" s="3"/>
      <c r="I71" s="3"/>
      <c r="J71" s="3"/>
      <c r="K71" s="88"/>
      <c r="L71" s="3"/>
    </row>
    <row r="72" spans="1:12" x14ac:dyDescent="0.25">
      <c r="A72" s="93">
        <v>3</v>
      </c>
      <c r="B72" s="96" t="s">
        <v>322</v>
      </c>
      <c r="C72" s="97">
        <f>IRR(C64:J64)</f>
        <v>0.18562550874244566</v>
      </c>
      <c r="D72" s="3"/>
      <c r="E72" s="3"/>
      <c r="F72" s="3"/>
      <c r="G72" s="3"/>
      <c r="H72" s="3"/>
      <c r="I72" s="3"/>
      <c r="J72" s="3"/>
      <c r="K72" s="88"/>
      <c r="L72" s="3"/>
    </row>
    <row r="73" spans="1:12" x14ac:dyDescent="0.25">
      <c r="A73" s="2"/>
      <c r="B73" s="2"/>
      <c r="C73" s="2"/>
      <c r="D73" s="3"/>
      <c r="E73" s="3"/>
      <c r="F73" s="3"/>
      <c r="G73" s="3"/>
      <c r="H73" s="3"/>
      <c r="I73" s="3"/>
      <c r="J73" s="3"/>
      <c r="K73" s="88"/>
      <c r="L73" s="3"/>
    </row>
    <row r="74" spans="1:12" x14ac:dyDescent="0.25">
      <c r="A74" s="2"/>
      <c r="B74" s="98" t="s">
        <v>94</v>
      </c>
      <c r="C74" s="99">
        <v>0.1</v>
      </c>
      <c r="D74" s="3"/>
      <c r="E74" s="3"/>
      <c r="F74" s="3"/>
      <c r="G74" s="3"/>
      <c r="H74" s="3"/>
      <c r="I74" s="3"/>
      <c r="J74" s="3"/>
      <c r="K74" s="68"/>
      <c r="L74" s="3"/>
    </row>
    <row r="75" spans="1:12" x14ac:dyDescent="0.25">
      <c r="A75" s="3"/>
      <c r="B75" s="3"/>
      <c r="C75" s="3"/>
      <c r="D75" s="3"/>
      <c r="E75" s="3"/>
      <c r="F75" s="3"/>
      <c r="G75" s="3"/>
      <c r="H75" s="3"/>
      <c r="I75" s="3"/>
      <c r="J75" s="3"/>
      <c r="K75" s="3"/>
      <c r="L75" s="3"/>
    </row>
    <row r="76" spans="1:12" x14ac:dyDescent="0.25">
      <c r="A76" s="44"/>
      <c r="B76" s="44"/>
      <c r="C76" s="44"/>
      <c r="D76" s="44"/>
      <c r="E76" s="44"/>
      <c r="F76" s="44"/>
      <c r="G76" s="44"/>
      <c r="H76" s="44"/>
      <c r="I76" s="44"/>
      <c r="J76" s="44"/>
      <c r="K76" s="44"/>
      <c r="L76" s="44"/>
    </row>
    <row r="77" spans="1:12" x14ac:dyDescent="0.25">
      <c r="A77" s="44"/>
      <c r="B77" s="44"/>
      <c r="C77" s="44"/>
      <c r="D77" s="44"/>
      <c r="E77" s="44"/>
      <c r="F77" s="44"/>
      <c r="G77" s="44"/>
      <c r="H77" s="44"/>
      <c r="I77" s="44"/>
      <c r="J77" s="44"/>
      <c r="K77" s="44"/>
      <c r="L77" s="44"/>
    </row>
  </sheetData>
  <mergeCells count="21">
    <mergeCell ref="B65:H65"/>
    <mergeCell ref="A68:C68"/>
    <mergeCell ref="B35:D35"/>
    <mergeCell ref="A38:L38"/>
    <mergeCell ref="B40:L40"/>
    <mergeCell ref="B45:L45"/>
    <mergeCell ref="B49:L49"/>
    <mergeCell ref="A56:H56"/>
    <mergeCell ref="A22:B22"/>
    <mergeCell ref="A26:K26"/>
    <mergeCell ref="A27:A28"/>
    <mergeCell ref="B27:B28"/>
    <mergeCell ref="C27:C28"/>
    <mergeCell ref="D27:D28"/>
    <mergeCell ref="E28:K28"/>
    <mergeCell ref="B19:D19"/>
    <mergeCell ref="A1:H1"/>
    <mergeCell ref="A7:D7"/>
    <mergeCell ref="F7:G7"/>
    <mergeCell ref="B9:D9"/>
    <mergeCell ref="B16:D16"/>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82"/>
  <sheetViews>
    <sheetView topLeftCell="A61" workbookViewId="0">
      <selection activeCell="B69" sqref="B69"/>
    </sheetView>
  </sheetViews>
  <sheetFormatPr baseColWidth="10" defaultColWidth="10.85546875" defaultRowHeight="15" x14ac:dyDescent="0.25"/>
  <cols>
    <col min="1" max="1" width="10.85546875" style="3"/>
    <col min="2" max="2" width="37.85546875" style="3" customWidth="1"/>
    <col min="3" max="3" width="18.85546875" style="3" customWidth="1"/>
    <col min="4" max="4" width="48.42578125" style="3" customWidth="1"/>
    <col min="5" max="5" width="18" style="3" customWidth="1"/>
    <col min="6" max="6" width="17.140625" style="3" customWidth="1"/>
    <col min="7" max="7" width="17" style="3" customWidth="1"/>
    <col min="8" max="8" width="23.28515625" style="3" customWidth="1"/>
    <col min="9" max="9" width="23" style="3" customWidth="1"/>
    <col min="10" max="10" width="32.7109375" style="3" customWidth="1"/>
    <col min="11" max="16384" width="10.85546875" style="3"/>
  </cols>
  <sheetData>
    <row r="1" spans="1:12" ht="21" x14ac:dyDescent="0.25">
      <c r="A1" s="175" t="s">
        <v>263</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c r="B6" s="5"/>
      <c r="C6" s="1"/>
      <c r="D6" s="1"/>
      <c r="E6" s="1"/>
      <c r="F6" s="11"/>
      <c r="G6" s="5"/>
      <c r="H6" s="1"/>
      <c r="I6" s="1"/>
      <c r="J6" s="2"/>
      <c r="K6" s="2"/>
      <c r="L6" s="2"/>
    </row>
    <row r="7" spans="1:12" ht="15.75" x14ac:dyDescent="0.25">
      <c r="A7" s="182" t="s">
        <v>6</v>
      </c>
      <c r="B7" s="183"/>
      <c r="C7" s="183"/>
      <c r="D7" s="184"/>
      <c r="E7" s="1"/>
      <c r="F7" s="176"/>
      <c r="G7" s="176"/>
      <c r="H7" s="2"/>
    </row>
    <row r="8" spans="1:12" s="18" customFormat="1" ht="47.25" customHeight="1" x14ac:dyDescent="0.25">
      <c r="A8" s="12" t="s">
        <v>7</v>
      </c>
      <c r="B8" s="13"/>
      <c r="C8" s="14" t="s">
        <v>8</v>
      </c>
      <c r="D8" s="15" t="s">
        <v>9</v>
      </c>
      <c r="E8" s="16"/>
      <c r="F8" s="125"/>
      <c r="G8" s="17" t="s">
        <v>10</v>
      </c>
      <c r="H8" s="16"/>
    </row>
    <row r="9" spans="1:12" x14ac:dyDescent="0.25">
      <c r="A9" s="19" t="s">
        <v>11</v>
      </c>
      <c r="B9" s="172" t="s">
        <v>12</v>
      </c>
      <c r="C9" s="173"/>
      <c r="D9" s="174"/>
      <c r="E9" s="2"/>
      <c r="F9" s="20"/>
      <c r="G9" s="21" t="s">
        <v>13</v>
      </c>
      <c r="H9" s="2"/>
    </row>
    <row r="10" spans="1:12" ht="41.25" customHeight="1" x14ac:dyDescent="0.25">
      <c r="A10" s="22">
        <v>1</v>
      </c>
      <c r="B10" s="23" t="s">
        <v>14</v>
      </c>
      <c r="C10" s="24">
        <f>22088000</f>
        <v>22088000</v>
      </c>
      <c r="D10" s="23" t="s">
        <v>264</v>
      </c>
      <c r="E10" s="2"/>
      <c r="F10" s="25">
        <v>0.1</v>
      </c>
      <c r="G10" s="26">
        <f>C10*(1-F10)^5</f>
        <v>13042743.120000005</v>
      </c>
      <c r="H10" s="2"/>
    </row>
    <row r="11" spans="1:12" ht="48" customHeight="1" x14ac:dyDescent="0.25">
      <c r="A11" s="27">
        <v>2</v>
      </c>
      <c r="B11" s="23" t="s">
        <v>15</v>
      </c>
      <c r="C11" s="24">
        <f>10910222+8107635+8220013</f>
        <v>27237870</v>
      </c>
      <c r="D11" s="23" t="s">
        <v>265</v>
      </c>
      <c r="E11" s="2"/>
      <c r="F11" s="25">
        <v>0.05</v>
      </c>
      <c r="G11" s="26">
        <f>C11*(1-F11)^5</f>
        <v>21076144.584103126</v>
      </c>
      <c r="H11" s="2"/>
    </row>
    <row r="12" spans="1:12" ht="61.5" customHeight="1" x14ac:dyDescent="0.25">
      <c r="A12" s="27">
        <v>3</v>
      </c>
      <c r="B12" s="23" t="s">
        <v>13</v>
      </c>
      <c r="C12" s="24">
        <f>1500000+10852000+2000000+500000+1200000+2000000</f>
        <v>18052000</v>
      </c>
      <c r="D12" s="23" t="s">
        <v>266</v>
      </c>
      <c r="E12" s="28"/>
      <c r="F12" s="25">
        <v>0.2</v>
      </c>
      <c r="G12" s="26">
        <f>C12*(1-F12)^5</f>
        <v>5915279.3600000031</v>
      </c>
      <c r="H12" s="2"/>
    </row>
    <row r="13" spans="1:12" ht="46.5" customHeight="1" x14ac:dyDescent="0.25">
      <c r="A13" s="27">
        <v>4</v>
      </c>
      <c r="B13" s="23" t="s">
        <v>267</v>
      </c>
      <c r="C13" s="24">
        <f>13833464+2000000</f>
        <v>15833464</v>
      </c>
      <c r="D13" s="23" t="s">
        <v>268</v>
      </c>
      <c r="E13" s="2"/>
      <c r="F13" s="25">
        <v>0</v>
      </c>
      <c r="G13" s="26" t="s">
        <v>18</v>
      </c>
      <c r="H13" s="2"/>
    </row>
    <row r="14" spans="1:12" x14ac:dyDescent="0.25">
      <c r="A14" s="29"/>
      <c r="B14" s="30"/>
      <c r="C14" s="31">
        <f>SUM(C10:C13)</f>
        <v>83211334</v>
      </c>
      <c r="D14" s="32"/>
      <c r="E14" s="2"/>
      <c r="F14" s="33"/>
      <c r="G14" s="34" t="s">
        <v>18</v>
      </c>
      <c r="H14" s="2"/>
    </row>
    <row r="15" spans="1:12" x14ac:dyDescent="0.25">
      <c r="A15" s="19" t="s">
        <v>11</v>
      </c>
      <c r="B15" s="177" t="s">
        <v>19</v>
      </c>
      <c r="C15" s="177"/>
      <c r="D15" s="177"/>
      <c r="E15" s="2"/>
      <c r="F15" s="20"/>
      <c r="G15" s="35"/>
      <c r="H15" s="2"/>
    </row>
    <row r="16" spans="1:12" x14ac:dyDescent="0.25">
      <c r="A16" s="22">
        <v>1</v>
      </c>
      <c r="B16" s="23" t="s">
        <v>257</v>
      </c>
      <c r="C16" s="24">
        <v>3000000</v>
      </c>
      <c r="D16" s="23" t="s">
        <v>18</v>
      </c>
      <c r="E16" s="2"/>
      <c r="F16" s="33"/>
      <c r="G16" s="34" t="s">
        <v>18</v>
      </c>
      <c r="H16" s="2"/>
    </row>
    <row r="17" spans="1:15" x14ac:dyDescent="0.25">
      <c r="A17" s="22">
        <v>2</v>
      </c>
      <c r="B17" s="36"/>
      <c r="C17" s="37">
        <f>SUM(C16)</f>
        <v>3000000</v>
      </c>
      <c r="D17" s="38"/>
      <c r="E17" s="39"/>
      <c r="F17" s="33"/>
      <c r="G17" s="34" t="s">
        <v>18</v>
      </c>
      <c r="H17" s="2"/>
    </row>
    <row r="18" spans="1:15" ht="15.75" customHeight="1" x14ac:dyDescent="0.25">
      <c r="A18" s="19" t="s">
        <v>11</v>
      </c>
      <c r="B18" s="172" t="s">
        <v>22</v>
      </c>
      <c r="C18" s="173"/>
      <c r="D18" s="174"/>
      <c r="E18" s="2"/>
      <c r="F18" s="20"/>
      <c r="G18" s="35"/>
      <c r="H18" s="2"/>
    </row>
    <row r="19" spans="1:15" ht="26.25" customHeight="1" x14ac:dyDescent="0.25">
      <c r="A19" s="22">
        <v>1</v>
      </c>
      <c r="B19" s="23" t="s">
        <v>23</v>
      </c>
      <c r="C19" s="24">
        <v>9769788</v>
      </c>
      <c r="D19" s="40" t="s">
        <v>269</v>
      </c>
      <c r="E19" s="2"/>
      <c r="F19" s="33"/>
      <c r="G19" s="34" t="s">
        <v>18</v>
      </c>
      <c r="H19" s="2"/>
    </row>
    <row r="20" spans="1:15" ht="17.25" customHeight="1" x14ac:dyDescent="0.25">
      <c r="A20" s="22">
        <v>2</v>
      </c>
      <c r="B20" s="23" t="s">
        <v>24</v>
      </c>
      <c r="C20" s="24"/>
      <c r="D20" s="40" t="s">
        <v>18</v>
      </c>
      <c r="E20" s="2"/>
      <c r="F20" s="33"/>
      <c r="G20" s="34" t="s">
        <v>18</v>
      </c>
      <c r="H20" s="2"/>
    </row>
    <row r="21" spans="1:15" x14ac:dyDescent="0.25">
      <c r="A21" s="165"/>
      <c r="B21" s="166"/>
      <c r="C21" s="41">
        <f>SUM(C19:C20)</f>
        <v>9769788</v>
      </c>
      <c r="E21" s="42"/>
      <c r="F21" s="33"/>
      <c r="G21" s="43">
        <f>SUM(G10:G20)</f>
        <v>40034167.064103127</v>
      </c>
      <c r="I21" s="2"/>
    </row>
    <row r="22" spans="1:15" x14ac:dyDescent="0.25">
      <c r="A22" s="44"/>
      <c r="B22" s="45" t="s">
        <v>26</v>
      </c>
      <c r="C22" s="46">
        <f>SUM(C14+C17+C21)</f>
        <v>95981122</v>
      </c>
      <c r="G22" s="2"/>
      <c r="H22" s="2"/>
      <c r="I22" s="2"/>
      <c r="J22" s="2"/>
      <c r="K22" s="2"/>
    </row>
    <row r="23" spans="1:15" x14ac:dyDescent="0.25">
      <c r="A23" s="47"/>
      <c r="B23" s="48"/>
      <c r="C23" s="42"/>
      <c r="D23" s="49"/>
      <c r="E23" s="50"/>
      <c r="F23" s="50"/>
      <c r="G23" s="51"/>
      <c r="H23" s="52"/>
      <c r="I23" s="2"/>
      <c r="J23" s="2"/>
      <c r="K23" s="2"/>
      <c r="L23" s="2"/>
    </row>
    <row r="24" spans="1:15" x14ac:dyDescent="0.25">
      <c r="A24" s="1"/>
      <c r="B24" s="48"/>
      <c r="C24" s="1"/>
      <c r="D24" s="1"/>
      <c r="E24" s="1"/>
      <c r="F24" s="1"/>
      <c r="G24" s="1"/>
      <c r="H24" s="2"/>
      <c r="I24" s="1"/>
      <c r="J24" s="2"/>
      <c r="K24" s="2"/>
      <c r="L24" s="2"/>
    </row>
    <row r="25" spans="1:15" ht="15.75" x14ac:dyDescent="0.25">
      <c r="A25" s="182" t="s">
        <v>27</v>
      </c>
      <c r="B25" s="183"/>
      <c r="C25" s="183"/>
      <c r="D25" s="183"/>
      <c r="E25" s="183"/>
      <c r="F25" s="183"/>
      <c r="G25" s="183"/>
      <c r="H25" s="183"/>
      <c r="I25" s="184"/>
      <c r="J25" s="54"/>
      <c r="K25" s="54"/>
      <c r="L25" s="54"/>
      <c r="M25" s="54"/>
      <c r="N25" s="54"/>
    </row>
    <row r="26" spans="1:15" x14ac:dyDescent="0.25">
      <c r="A26" s="167" t="s">
        <v>11</v>
      </c>
      <c r="B26" s="167" t="s">
        <v>28</v>
      </c>
      <c r="C26" s="167" t="s">
        <v>29</v>
      </c>
      <c r="D26" s="167" t="s">
        <v>118</v>
      </c>
      <c r="E26" s="55" t="s">
        <v>31</v>
      </c>
      <c r="F26" s="56" t="s">
        <v>32</v>
      </c>
      <c r="G26" s="56" t="s">
        <v>33</v>
      </c>
      <c r="H26" s="56" t="s">
        <v>34</v>
      </c>
      <c r="I26" s="56" t="s">
        <v>35</v>
      </c>
      <c r="J26" s="11"/>
      <c r="M26" s="2"/>
      <c r="N26" s="2"/>
    </row>
    <row r="27" spans="1:15" x14ac:dyDescent="0.25">
      <c r="A27" s="168"/>
      <c r="B27" s="168"/>
      <c r="C27" s="168"/>
      <c r="D27" s="168"/>
      <c r="E27" s="169" t="s">
        <v>39</v>
      </c>
      <c r="F27" s="170"/>
      <c r="G27" s="170"/>
      <c r="H27" s="170"/>
      <c r="I27" s="171"/>
      <c r="J27" s="58"/>
      <c r="K27" s="2"/>
      <c r="L27" s="2"/>
    </row>
    <row r="28" spans="1:15" ht="18.75" customHeight="1" x14ac:dyDescent="0.25">
      <c r="A28" s="59">
        <v>1</v>
      </c>
      <c r="B28" s="60" t="s">
        <v>270</v>
      </c>
      <c r="C28" s="10">
        <f>75200*0.15</f>
        <v>11280</v>
      </c>
      <c r="D28" s="10">
        <f>6500*0.3</f>
        <v>1950</v>
      </c>
      <c r="E28" s="63">
        <f>$D28*$C28</f>
        <v>21996000</v>
      </c>
      <c r="F28" s="63">
        <f t="shared" ref="F28:G29" si="0">$D28*$C28</f>
        <v>21996000</v>
      </c>
      <c r="G28" s="63">
        <f t="shared" si="0"/>
        <v>21996000</v>
      </c>
      <c r="H28" s="63">
        <f>$C28*$D28*2</f>
        <v>43992000</v>
      </c>
      <c r="I28" s="63">
        <f>$C28*$D28*2</f>
        <v>43992000</v>
      </c>
      <c r="J28" s="154" t="s">
        <v>41</v>
      </c>
      <c r="K28" s="155"/>
      <c r="L28" s="155"/>
      <c r="M28" s="155"/>
      <c r="N28" s="155"/>
      <c r="O28" s="155"/>
    </row>
    <row r="29" spans="1:15" ht="18.75" customHeight="1" x14ac:dyDescent="0.25">
      <c r="A29" s="59">
        <v>2</v>
      </c>
      <c r="B29" s="60" t="s">
        <v>271</v>
      </c>
      <c r="C29" s="10">
        <f>15040*0.15</f>
        <v>2256</v>
      </c>
      <c r="D29" s="10">
        <f>6500*0.3</f>
        <v>1950</v>
      </c>
      <c r="E29" s="63">
        <f>$D29*$C29</f>
        <v>4399200</v>
      </c>
      <c r="F29" s="63">
        <f t="shared" si="0"/>
        <v>4399200</v>
      </c>
      <c r="G29" s="63">
        <f t="shared" si="0"/>
        <v>4399200</v>
      </c>
      <c r="H29" s="63">
        <f>$C29*$D29*2</f>
        <v>8798400</v>
      </c>
      <c r="I29" s="63">
        <f>$C29*$D29*2</f>
        <v>8798400</v>
      </c>
      <c r="J29" s="123"/>
      <c r="K29" s="124"/>
      <c r="L29" s="124"/>
      <c r="M29" s="124"/>
      <c r="N29" s="124"/>
      <c r="O29" s="124"/>
    </row>
    <row r="30" spans="1:15" x14ac:dyDescent="0.25">
      <c r="A30" s="59">
        <v>3</v>
      </c>
      <c r="B30" s="78"/>
      <c r="C30" s="10"/>
      <c r="D30" s="10"/>
      <c r="E30" s="62">
        <f t="shared" ref="E30:E31" si="1">C30*D30</f>
        <v>0</v>
      </c>
      <c r="F30" s="63">
        <f>($D30*(1+$G$3))*$C30</f>
        <v>0</v>
      </c>
      <c r="G30" s="63">
        <f t="shared" ref="G30:I31" si="2">(F30*(1+$G$3))</f>
        <v>0</v>
      </c>
      <c r="H30" s="63">
        <f t="shared" si="2"/>
        <v>0</v>
      </c>
      <c r="I30" s="63">
        <f t="shared" si="2"/>
        <v>0</v>
      </c>
      <c r="J30" s="123"/>
      <c r="K30" s="1"/>
      <c r="L30" s="2"/>
      <c r="M30" s="2"/>
      <c r="N30" s="2"/>
    </row>
    <row r="31" spans="1:15" ht="15" customHeight="1" x14ac:dyDescent="0.25">
      <c r="A31" s="107">
        <v>4</v>
      </c>
      <c r="B31" s="60"/>
      <c r="C31" s="10"/>
      <c r="D31" s="10"/>
      <c r="E31" s="62">
        <f t="shared" si="1"/>
        <v>0</v>
      </c>
      <c r="F31" s="63">
        <f>($D31*(1+$G$3))*$C31</f>
        <v>0</v>
      </c>
      <c r="G31" s="63">
        <f t="shared" si="2"/>
        <v>0</v>
      </c>
      <c r="H31" s="63">
        <f t="shared" si="2"/>
        <v>0</v>
      </c>
      <c r="I31" s="63">
        <f t="shared" si="2"/>
        <v>0</v>
      </c>
      <c r="K31" s="66"/>
      <c r="L31" s="66"/>
      <c r="M31" s="2"/>
      <c r="N31" s="2"/>
    </row>
    <row r="32" spans="1:15" ht="15" customHeight="1" x14ac:dyDescent="0.25">
      <c r="A32" s="5"/>
      <c r="B32" s="156" t="s">
        <v>43</v>
      </c>
      <c r="C32" s="157"/>
      <c r="D32" s="158"/>
      <c r="E32" s="46">
        <f>SUM(E28:E31)</f>
        <v>26395200</v>
      </c>
      <c r="F32" s="46">
        <f>SUM(F28:F31)</f>
        <v>26395200</v>
      </c>
      <c r="G32" s="46">
        <f t="shared" ref="G32:H32" si="3">SUM(G28:G31)</f>
        <v>26395200</v>
      </c>
      <c r="H32" s="46">
        <f t="shared" si="3"/>
        <v>52790400</v>
      </c>
      <c r="I32" s="46">
        <f>SUM(I28:I31)</f>
        <v>52790400</v>
      </c>
      <c r="J32" s="66"/>
      <c r="K32" s="2"/>
      <c r="L32" s="2"/>
    </row>
    <row r="33" spans="1:14" x14ac:dyDescent="0.25">
      <c r="A33" s="2"/>
      <c r="B33" s="48"/>
      <c r="C33" s="67"/>
      <c r="D33" s="68"/>
      <c r="E33" s="68"/>
      <c r="F33" s="68"/>
      <c r="G33" s="68"/>
      <c r="H33" s="68"/>
      <c r="I33" s="1"/>
      <c r="J33" s="11"/>
      <c r="K33" s="66"/>
      <c r="L33" s="66"/>
      <c r="M33" s="2"/>
      <c r="N33" s="2"/>
    </row>
    <row r="34" spans="1:14" x14ac:dyDescent="0.25">
      <c r="A34" s="2"/>
      <c r="B34" s="69"/>
      <c r="C34" s="67"/>
      <c r="D34" s="68"/>
      <c r="E34" s="68"/>
      <c r="F34" s="68"/>
      <c r="G34" s="68"/>
      <c r="H34" s="68"/>
      <c r="I34" s="1"/>
      <c r="J34" s="11"/>
      <c r="M34" s="2"/>
      <c r="N34" s="2"/>
    </row>
    <row r="35" spans="1:14" ht="15.75" x14ac:dyDescent="0.25">
      <c r="A35" s="185" t="s">
        <v>44</v>
      </c>
      <c r="B35" s="186"/>
      <c r="C35" s="186"/>
      <c r="D35" s="186"/>
      <c r="E35" s="186"/>
      <c r="F35" s="186"/>
      <c r="G35" s="186"/>
      <c r="H35" s="186"/>
      <c r="I35" s="186"/>
      <c r="J35" s="187"/>
      <c r="K35" s="54"/>
      <c r="L35" s="54"/>
      <c r="M35" s="54"/>
      <c r="N35" s="44"/>
    </row>
    <row r="36" spans="1:14" ht="15" customHeight="1" x14ac:dyDescent="0.25">
      <c r="A36" s="56" t="s">
        <v>11</v>
      </c>
      <c r="B36" s="70" t="s">
        <v>7</v>
      </c>
      <c r="C36" s="71" t="s">
        <v>45</v>
      </c>
      <c r="D36" s="71" t="s">
        <v>46</v>
      </c>
      <c r="E36" s="55" t="s">
        <v>31</v>
      </c>
      <c r="F36" s="56" t="s">
        <v>32</v>
      </c>
      <c r="G36" s="56" t="s">
        <v>33</v>
      </c>
      <c r="H36" s="56" t="s">
        <v>34</v>
      </c>
      <c r="I36" s="56" t="s">
        <v>35</v>
      </c>
      <c r="J36" s="14" t="s">
        <v>9</v>
      </c>
    </row>
    <row r="37" spans="1:14" ht="15" customHeight="1" x14ac:dyDescent="0.25">
      <c r="A37" s="101"/>
      <c r="B37" s="163" t="s">
        <v>47</v>
      </c>
      <c r="C37" s="163"/>
      <c r="D37" s="163"/>
      <c r="E37" s="163"/>
      <c r="F37" s="163"/>
      <c r="G37" s="163"/>
      <c r="H37" s="163"/>
      <c r="I37" s="164"/>
      <c r="J37" s="73"/>
    </row>
    <row r="38" spans="1:14" x14ac:dyDescent="0.25">
      <c r="A38" s="59" t="s">
        <v>48</v>
      </c>
      <c r="B38" s="74" t="s">
        <v>149</v>
      </c>
      <c r="C38" s="9"/>
      <c r="D38" s="127"/>
      <c r="E38" s="75">
        <f t="shared" ref="E38:E48" si="4">C38*D38</f>
        <v>0</v>
      </c>
      <c r="F38" s="75">
        <f>E38*(1+$G$3)</f>
        <v>0</v>
      </c>
      <c r="G38" s="75">
        <f>F38*(1+$G$3)</f>
        <v>0</v>
      </c>
      <c r="H38" s="75">
        <f>G38*(1+$G$3)</f>
        <v>0</v>
      </c>
      <c r="I38" s="75">
        <f>H38*(1+$G$3)</f>
        <v>0</v>
      </c>
      <c r="J38" s="10"/>
      <c r="K38" s="2"/>
      <c r="L38" s="2"/>
      <c r="M38" s="2"/>
    </row>
    <row r="39" spans="1:14" x14ac:dyDescent="0.25">
      <c r="A39" s="59" t="s">
        <v>51</v>
      </c>
      <c r="B39" s="74" t="s">
        <v>55</v>
      </c>
      <c r="C39" s="9"/>
      <c r="D39" s="127"/>
      <c r="E39" s="75">
        <f t="shared" si="4"/>
        <v>0</v>
      </c>
      <c r="F39" s="75">
        <f>E39*(1+$G$3)</f>
        <v>0</v>
      </c>
      <c r="G39" s="75">
        <f>F39*(1+$G$3)</f>
        <v>0</v>
      </c>
      <c r="H39" s="75"/>
      <c r="I39" s="75"/>
      <c r="J39" s="10"/>
      <c r="K39" s="2"/>
      <c r="L39" s="2"/>
      <c r="M39" s="2"/>
    </row>
    <row r="40" spans="1:14" x14ac:dyDescent="0.25">
      <c r="A40" s="59" t="s">
        <v>54</v>
      </c>
      <c r="B40" s="60" t="s">
        <v>136</v>
      </c>
      <c r="C40" s="9">
        <v>12</v>
      </c>
      <c r="D40" s="127">
        <v>128213</v>
      </c>
      <c r="E40" s="75">
        <f t="shared" si="4"/>
        <v>1538556</v>
      </c>
      <c r="F40" s="75">
        <f>D40*C40</f>
        <v>1538556</v>
      </c>
      <c r="G40" s="75">
        <f>F40*(1+$G$3)</f>
        <v>1592405.46</v>
      </c>
      <c r="H40" s="75">
        <f>G40*(1+$G$3)</f>
        <v>1648139.6510999999</v>
      </c>
      <c r="I40" s="75">
        <f>H40*(1+$G$3)</f>
        <v>1705824.5388884998</v>
      </c>
      <c r="J40" s="10" t="s">
        <v>272</v>
      </c>
      <c r="K40" s="2"/>
    </row>
    <row r="41" spans="1:14" x14ac:dyDescent="0.25">
      <c r="A41" s="59" t="s">
        <v>57</v>
      </c>
      <c r="B41" s="60"/>
      <c r="C41" s="9"/>
      <c r="D41" s="127"/>
      <c r="E41" s="75">
        <f t="shared" si="4"/>
        <v>0</v>
      </c>
      <c r="F41" s="75">
        <f>D41*C41</f>
        <v>0</v>
      </c>
      <c r="G41" s="75">
        <f>F41*(1+$G$3)</f>
        <v>0</v>
      </c>
      <c r="H41" s="75">
        <f t="shared" ref="H41:I41" si="5">G41</f>
        <v>0</v>
      </c>
      <c r="I41" s="75">
        <f t="shared" si="5"/>
        <v>0</v>
      </c>
      <c r="J41" s="10"/>
      <c r="K41" s="2"/>
    </row>
    <row r="42" spans="1:14" x14ac:dyDescent="0.25">
      <c r="A42" s="56">
        <v>2</v>
      </c>
      <c r="B42" s="140" t="s">
        <v>60</v>
      </c>
      <c r="C42" s="141"/>
      <c r="D42" s="141"/>
      <c r="E42" s="141"/>
      <c r="F42" s="141"/>
      <c r="G42" s="141"/>
      <c r="H42" s="141"/>
      <c r="I42" s="142"/>
      <c r="J42" s="77"/>
      <c r="K42" s="2"/>
    </row>
    <row r="43" spans="1:14" x14ac:dyDescent="0.25">
      <c r="A43" s="59" t="s">
        <v>48</v>
      </c>
      <c r="B43" s="78" t="s">
        <v>61</v>
      </c>
      <c r="C43" s="9">
        <v>1</v>
      </c>
      <c r="D43" s="127">
        <f>320000*12</f>
        <v>3840000</v>
      </c>
      <c r="E43" s="75">
        <f>C43*D43</f>
        <v>3840000</v>
      </c>
      <c r="F43" s="75">
        <f>E43*(1+$G$3)</f>
        <v>3974399.9999999995</v>
      </c>
      <c r="G43" s="75">
        <f>F43*(1+$G$3)</f>
        <v>4113503.9999999991</v>
      </c>
      <c r="H43" s="75">
        <f>G43*(1+$G$3)</f>
        <v>4257476.6399999987</v>
      </c>
      <c r="I43" s="75">
        <f>H43*(1+$G$3)</f>
        <v>4406488.3223999981</v>
      </c>
      <c r="J43" s="10"/>
      <c r="K43" s="2"/>
    </row>
    <row r="44" spans="1:14" ht="22.5" customHeight="1" x14ac:dyDescent="0.25">
      <c r="A44" s="56" t="s">
        <v>51</v>
      </c>
      <c r="B44" s="74" t="s">
        <v>62</v>
      </c>
      <c r="C44" s="9">
        <v>1</v>
      </c>
      <c r="D44" s="127">
        <v>500000</v>
      </c>
      <c r="E44" s="75">
        <f t="shared" ref="E44:E45" si="6">C44*D44</f>
        <v>500000</v>
      </c>
      <c r="F44" s="75">
        <f>D44*C44</f>
        <v>500000</v>
      </c>
      <c r="G44" s="75">
        <f t="shared" ref="G44:I45" si="7">F44*(1+$G$3)</f>
        <v>517499.99999999994</v>
      </c>
      <c r="H44" s="75">
        <f t="shared" si="7"/>
        <v>535612.49999999988</v>
      </c>
      <c r="I44" s="75">
        <f t="shared" si="7"/>
        <v>554358.93749999988</v>
      </c>
      <c r="J44" s="10"/>
      <c r="K44" s="2"/>
    </row>
    <row r="45" spans="1:14" ht="15.75" customHeight="1" x14ac:dyDescent="0.25">
      <c r="A45" s="56" t="s">
        <v>54</v>
      </c>
      <c r="B45" s="74" t="s">
        <v>154</v>
      </c>
      <c r="C45" s="9"/>
      <c r="D45" s="127"/>
      <c r="E45" s="75">
        <f t="shared" si="6"/>
        <v>0</v>
      </c>
      <c r="F45" s="75">
        <f>D45*C45</f>
        <v>0</v>
      </c>
      <c r="G45" s="75">
        <f t="shared" si="7"/>
        <v>0</v>
      </c>
      <c r="H45" s="75">
        <f t="shared" si="7"/>
        <v>0</v>
      </c>
      <c r="I45" s="75">
        <f t="shared" si="7"/>
        <v>0</v>
      </c>
      <c r="J45" s="10"/>
      <c r="K45" s="2"/>
    </row>
    <row r="46" spans="1:14" x14ac:dyDescent="0.25">
      <c r="A46" s="56">
        <v>3</v>
      </c>
      <c r="B46" s="162" t="s">
        <v>75</v>
      </c>
      <c r="C46" s="163"/>
      <c r="D46" s="163"/>
      <c r="E46" s="163"/>
      <c r="F46" s="163"/>
      <c r="G46" s="163"/>
      <c r="H46" s="163"/>
      <c r="I46" s="164"/>
      <c r="J46" s="77"/>
      <c r="K46" s="2"/>
    </row>
    <row r="47" spans="1:14" ht="31.5" customHeight="1" x14ac:dyDescent="0.25">
      <c r="A47" s="59" t="s">
        <v>48</v>
      </c>
      <c r="B47" s="60" t="s">
        <v>273</v>
      </c>
      <c r="C47" s="9"/>
      <c r="D47" s="127"/>
      <c r="E47" s="75">
        <v>1319760</v>
      </c>
      <c r="F47" s="75">
        <v>1319760</v>
      </c>
      <c r="G47" s="75">
        <v>1319760</v>
      </c>
      <c r="H47" s="75">
        <f>2639520</f>
        <v>2639520</v>
      </c>
      <c r="I47" s="75">
        <f>2639520</f>
        <v>2639520</v>
      </c>
      <c r="J47" s="10"/>
      <c r="K47" s="2"/>
    </row>
    <row r="48" spans="1:14" ht="31.5" customHeight="1" x14ac:dyDescent="0.25">
      <c r="A48" s="59" t="s">
        <v>51</v>
      </c>
      <c r="B48" s="78" t="s">
        <v>77</v>
      </c>
      <c r="C48" s="9"/>
      <c r="D48" s="127"/>
      <c r="E48" s="75">
        <f t="shared" si="4"/>
        <v>0</v>
      </c>
      <c r="F48" s="75">
        <f t="shared" ref="F48:I48" si="8">E48*(1+$G$3)</f>
        <v>0</v>
      </c>
      <c r="G48" s="75">
        <f t="shared" si="8"/>
        <v>0</v>
      </c>
      <c r="H48" s="75">
        <f t="shared" si="8"/>
        <v>0</v>
      </c>
      <c r="I48" s="75">
        <f t="shared" si="8"/>
        <v>0</v>
      </c>
      <c r="J48" s="10"/>
      <c r="K48" s="2"/>
    </row>
    <row r="49" spans="1:12" x14ac:dyDescent="0.25">
      <c r="A49" s="56"/>
      <c r="B49" s="70" t="s">
        <v>79</v>
      </c>
      <c r="C49" s="70"/>
      <c r="D49" s="70"/>
      <c r="E49" s="46">
        <f>SUM(E38:E48)</f>
        <v>7198316</v>
      </c>
      <c r="F49" s="46">
        <f>SUM(F38:F48)</f>
        <v>7332716</v>
      </c>
      <c r="G49" s="46">
        <f t="shared" ref="G49:I49" si="9">SUM(G38:G48)</f>
        <v>7543169.459999999</v>
      </c>
      <c r="H49" s="46">
        <f t="shared" si="9"/>
        <v>9080748.7910999991</v>
      </c>
      <c r="I49" s="46">
        <f t="shared" si="9"/>
        <v>9306191.7987884991</v>
      </c>
      <c r="J49" s="80"/>
      <c r="K49" s="2"/>
    </row>
    <row r="50" spans="1:12" x14ac:dyDescent="0.25">
      <c r="A50" s="2"/>
      <c r="B50" s="48"/>
      <c r="C50" s="1"/>
      <c r="D50" s="1"/>
      <c r="E50" s="11"/>
      <c r="F50" s="1"/>
      <c r="G50" s="1"/>
      <c r="H50" s="1"/>
      <c r="I50" s="1"/>
      <c r="J50" s="1"/>
      <c r="K50" s="2"/>
      <c r="L50" s="2"/>
    </row>
    <row r="51" spans="1:12" x14ac:dyDescent="0.25">
      <c r="A51" s="2"/>
      <c r="B51" s="2"/>
      <c r="C51" s="81"/>
      <c r="D51" s="2"/>
      <c r="E51" s="2"/>
      <c r="F51" s="2"/>
      <c r="G51" s="2"/>
      <c r="H51" s="2"/>
      <c r="I51" s="2"/>
      <c r="J51" s="2"/>
      <c r="K51" s="2"/>
      <c r="L51" s="2"/>
    </row>
    <row r="52" spans="1:12" x14ac:dyDescent="0.25">
      <c r="A52" s="2"/>
      <c r="B52" s="2"/>
      <c r="C52" s="81"/>
      <c r="D52" s="2"/>
      <c r="E52" s="2"/>
      <c r="F52" s="2"/>
      <c r="G52" s="2"/>
      <c r="H52" s="2"/>
      <c r="I52" s="2"/>
      <c r="J52" s="2"/>
      <c r="K52" s="2"/>
      <c r="L52" s="2"/>
    </row>
    <row r="53" spans="1:12" ht="15.75" x14ac:dyDescent="0.25">
      <c r="A53" s="178" t="s">
        <v>80</v>
      </c>
      <c r="B53" s="179"/>
      <c r="C53" s="179"/>
      <c r="D53" s="179"/>
      <c r="E53" s="179"/>
      <c r="F53" s="179"/>
      <c r="G53" s="179"/>
      <c r="H53" s="180"/>
      <c r="I53" s="2"/>
      <c r="J53" s="2"/>
      <c r="K53" s="2"/>
      <c r="L53" s="2"/>
    </row>
    <row r="54" spans="1:12" x14ac:dyDescent="0.25">
      <c r="A54" s="56" t="s">
        <v>11</v>
      </c>
      <c r="B54" s="82" t="s">
        <v>81</v>
      </c>
      <c r="C54" s="83" t="s">
        <v>82</v>
      </c>
      <c r="D54" s="84" t="s">
        <v>31</v>
      </c>
      <c r="E54" s="84" t="s">
        <v>32</v>
      </c>
      <c r="F54" s="84" t="s">
        <v>33</v>
      </c>
      <c r="G54" s="84" t="s">
        <v>34</v>
      </c>
      <c r="H54" s="84" t="s">
        <v>35</v>
      </c>
      <c r="I54" s="85"/>
      <c r="J54" s="85"/>
      <c r="K54" s="2"/>
      <c r="L54" s="2"/>
    </row>
    <row r="55" spans="1:12" x14ac:dyDescent="0.25">
      <c r="A55" s="59">
        <v>1</v>
      </c>
      <c r="B55" s="86" t="s">
        <v>83</v>
      </c>
      <c r="C55" s="87"/>
      <c r="D55" s="87">
        <f>E32</f>
        <v>26395200</v>
      </c>
      <c r="E55" s="87">
        <f>F32</f>
        <v>26395200</v>
      </c>
      <c r="F55" s="87">
        <f>G32</f>
        <v>26395200</v>
      </c>
      <c r="G55" s="87">
        <f>H32</f>
        <v>52790400</v>
      </c>
      <c r="H55" s="87">
        <f>I32</f>
        <v>52790400</v>
      </c>
      <c r="I55" s="88"/>
      <c r="J55" s="88"/>
      <c r="K55" s="2"/>
      <c r="L55" s="2"/>
    </row>
    <row r="56" spans="1:12" x14ac:dyDescent="0.25">
      <c r="A56" s="59">
        <v>2</v>
      </c>
      <c r="B56" s="86" t="s">
        <v>84</v>
      </c>
      <c r="C56" s="89"/>
      <c r="D56" s="87">
        <f>E49</f>
        <v>7198316</v>
      </c>
      <c r="E56" s="87">
        <f>F49</f>
        <v>7332716</v>
      </c>
      <c r="F56" s="87">
        <f>G49</f>
        <v>7543169.459999999</v>
      </c>
      <c r="G56" s="87">
        <f>H49</f>
        <v>9080748.7910999991</v>
      </c>
      <c r="H56" s="87">
        <f>I49</f>
        <v>9306191.7987884991</v>
      </c>
      <c r="I56" s="88"/>
      <c r="J56" s="88"/>
      <c r="K56" s="2"/>
      <c r="L56" s="2"/>
    </row>
    <row r="57" spans="1:12" x14ac:dyDescent="0.25">
      <c r="A57" s="59">
        <v>3</v>
      </c>
      <c r="B57" s="86" t="s">
        <v>85</v>
      </c>
      <c r="C57" s="89">
        <f>C22</f>
        <v>95981122</v>
      </c>
      <c r="D57" s="87"/>
      <c r="E57" s="87"/>
      <c r="F57" s="87"/>
      <c r="G57" s="87"/>
      <c r="H57" s="87"/>
      <c r="I57" s="88"/>
      <c r="J57" s="88"/>
      <c r="K57" s="2"/>
      <c r="L57" s="2"/>
    </row>
    <row r="58" spans="1:12" x14ac:dyDescent="0.25">
      <c r="A58" s="59">
        <v>4</v>
      </c>
      <c r="B58" s="86" t="s">
        <v>134</v>
      </c>
      <c r="C58" s="89">
        <f>SUM(E42:E45)/2</f>
        <v>2170000</v>
      </c>
      <c r="D58" s="87"/>
      <c r="E58" s="87"/>
      <c r="F58" s="87"/>
      <c r="G58" s="87"/>
      <c r="H58" s="87">
        <f>C58</f>
        <v>2170000</v>
      </c>
      <c r="I58" s="88"/>
      <c r="J58" s="88"/>
      <c r="K58" s="2"/>
      <c r="L58" s="2"/>
    </row>
    <row r="59" spans="1:12" x14ac:dyDescent="0.25">
      <c r="A59" s="59">
        <v>5</v>
      </c>
      <c r="B59" s="86" t="s">
        <v>87</v>
      </c>
      <c r="C59" s="89"/>
      <c r="D59" s="87"/>
      <c r="E59" s="87"/>
      <c r="F59" s="87"/>
      <c r="G59" s="87"/>
      <c r="H59" s="102">
        <f>G21</f>
        <v>40034167.064103127</v>
      </c>
      <c r="I59" s="88"/>
      <c r="J59" s="88"/>
      <c r="K59" s="2"/>
      <c r="L59" s="2"/>
    </row>
    <row r="60" spans="1:12" x14ac:dyDescent="0.25">
      <c r="A60" s="59"/>
      <c r="B60" s="86" t="s">
        <v>89</v>
      </c>
      <c r="C60" s="89">
        <f>-SUM(C57:C58)</f>
        <v>-98151122</v>
      </c>
      <c r="D60" s="87">
        <f>SUM(D55-D56-D57+D59)</f>
        <v>19196884</v>
      </c>
      <c r="E60" s="87">
        <f>SUM(E55-E56-E57+E59)</f>
        <v>19062484</v>
      </c>
      <c r="F60" s="87">
        <f>SUM(F55-F56-F57+F59)</f>
        <v>18852030.539999999</v>
      </c>
      <c r="G60" s="87">
        <f>SUM(G55-G56-G57+G59)</f>
        <v>43709651.208900005</v>
      </c>
      <c r="H60" s="87">
        <f>SUM(H55-H56-H57+H59+H58)</f>
        <v>85688375.265314624</v>
      </c>
      <c r="I60" s="88"/>
      <c r="J60" s="88"/>
      <c r="K60" s="2"/>
      <c r="L60" s="2"/>
    </row>
    <row r="61" spans="1:12" x14ac:dyDescent="0.25">
      <c r="A61" s="2"/>
      <c r="B61" s="181"/>
      <c r="C61" s="181"/>
      <c r="D61" s="181"/>
      <c r="E61" s="181"/>
      <c r="F61" s="181"/>
      <c r="G61" s="181"/>
      <c r="H61" s="181"/>
      <c r="I61" s="68"/>
      <c r="J61" s="68"/>
      <c r="K61" s="2"/>
      <c r="L61" s="2"/>
    </row>
    <row r="62" spans="1:12" x14ac:dyDescent="0.25">
      <c r="A62" s="2"/>
      <c r="B62" s="2"/>
      <c r="C62" s="2"/>
      <c r="D62" s="2"/>
      <c r="E62" s="2"/>
      <c r="F62" s="2"/>
      <c r="G62" s="2"/>
      <c r="H62" s="2"/>
      <c r="I62" s="68"/>
      <c r="J62" s="68"/>
      <c r="K62" s="2"/>
      <c r="L62" s="2"/>
    </row>
    <row r="63" spans="1:12" x14ac:dyDescent="0.25">
      <c r="A63" s="2"/>
      <c r="B63" s="2"/>
      <c r="C63" s="2"/>
      <c r="D63" s="2"/>
      <c r="E63" s="2"/>
      <c r="F63" s="2"/>
      <c r="G63" s="2"/>
      <c r="H63" s="2"/>
      <c r="I63" s="68"/>
      <c r="J63" s="68"/>
      <c r="K63" s="2"/>
      <c r="L63" s="2"/>
    </row>
    <row r="64" spans="1:12" ht="15.75" x14ac:dyDescent="0.25">
      <c r="A64" s="182" t="s">
        <v>90</v>
      </c>
      <c r="B64" s="183"/>
      <c r="C64" s="184"/>
      <c r="D64" s="2"/>
      <c r="E64" s="2"/>
      <c r="F64" s="2"/>
      <c r="G64" s="90"/>
      <c r="H64" s="2"/>
      <c r="I64" s="2"/>
      <c r="J64" s="2"/>
      <c r="K64" s="2"/>
      <c r="L64" s="2"/>
    </row>
    <row r="65" spans="1:12" x14ac:dyDescent="0.25">
      <c r="A65" s="91" t="s">
        <v>11</v>
      </c>
      <c r="B65" s="92" t="s">
        <v>91</v>
      </c>
      <c r="C65" s="92" t="s">
        <v>92</v>
      </c>
      <c r="D65" s="2"/>
      <c r="E65" s="2"/>
      <c r="F65" s="2"/>
      <c r="G65" s="2"/>
      <c r="H65" s="2"/>
      <c r="I65" s="2"/>
      <c r="J65" s="2"/>
      <c r="K65" s="85"/>
      <c r="L65" s="85"/>
    </row>
    <row r="66" spans="1:12" ht="25.5" x14ac:dyDescent="0.25">
      <c r="A66" s="93">
        <v>1</v>
      </c>
      <c r="B66" s="94" t="s">
        <v>93</v>
      </c>
      <c r="C66" s="95">
        <f>NPV(C70,D60:H60)+C60</f>
        <v>32278538.55280906</v>
      </c>
      <c r="K66" s="88"/>
      <c r="L66" s="88"/>
    </row>
    <row r="67" spans="1:12" ht="25.5" x14ac:dyDescent="0.25">
      <c r="A67" s="93">
        <v>2</v>
      </c>
      <c r="B67" s="94" t="s">
        <v>228</v>
      </c>
      <c r="C67" s="95">
        <f>NPV(C70,D60:H60)</f>
        <v>130429660.55280906</v>
      </c>
      <c r="K67" s="88"/>
      <c r="L67" s="88"/>
    </row>
    <row r="68" spans="1:12" x14ac:dyDescent="0.25">
      <c r="A68" s="93">
        <v>3</v>
      </c>
      <c r="B68" s="96" t="s">
        <v>322</v>
      </c>
      <c r="C68" s="97">
        <f>IRR(C60:H60)</f>
        <v>0.19115828860628548</v>
      </c>
      <c r="K68" s="88"/>
      <c r="L68" s="88"/>
    </row>
    <row r="69" spans="1:12" x14ac:dyDescent="0.25">
      <c r="A69" s="2"/>
      <c r="B69" s="2"/>
      <c r="C69" s="2"/>
      <c r="K69" s="88"/>
      <c r="L69" s="88"/>
    </row>
    <row r="70" spans="1:12" x14ac:dyDescent="0.25">
      <c r="A70" s="2"/>
      <c r="B70" s="98" t="s">
        <v>94</v>
      </c>
      <c r="C70" s="99">
        <v>0.1</v>
      </c>
      <c r="K70" s="68"/>
      <c r="L70" s="68"/>
    </row>
    <row r="77" spans="1:12" ht="14.25" customHeight="1" x14ac:dyDescent="0.25"/>
    <row r="78" spans="1:12" ht="36.75" customHeight="1" x14ac:dyDescent="0.25"/>
    <row r="82" ht="15.75" customHeight="1" x14ac:dyDescent="0.25"/>
  </sheetData>
  <mergeCells count="22">
    <mergeCell ref="B18:D18"/>
    <mergeCell ref="A1:H1"/>
    <mergeCell ref="A7:D7"/>
    <mergeCell ref="F7:G7"/>
    <mergeCell ref="B9:D9"/>
    <mergeCell ref="B15:D15"/>
    <mergeCell ref="A21:B21"/>
    <mergeCell ref="A25:I25"/>
    <mergeCell ref="A26:A27"/>
    <mergeCell ref="B26:B27"/>
    <mergeCell ref="C26:C27"/>
    <mergeCell ref="D26:D27"/>
    <mergeCell ref="E27:I27"/>
    <mergeCell ref="A53:H53"/>
    <mergeCell ref="B61:H61"/>
    <mergeCell ref="A64:C64"/>
    <mergeCell ref="J28:O28"/>
    <mergeCell ref="B32:D32"/>
    <mergeCell ref="A35:J35"/>
    <mergeCell ref="B37:I37"/>
    <mergeCell ref="B42:I42"/>
    <mergeCell ref="B46:I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84"/>
  <sheetViews>
    <sheetView topLeftCell="A15" workbookViewId="0">
      <selection activeCell="D44" sqref="D44"/>
    </sheetView>
  </sheetViews>
  <sheetFormatPr baseColWidth="10" defaultColWidth="10.85546875" defaultRowHeight="15" x14ac:dyDescent="0.25"/>
  <cols>
    <col min="1" max="1" width="10.85546875" style="3"/>
    <col min="2" max="2" width="37.85546875" style="3" customWidth="1"/>
    <col min="3" max="3" width="23.85546875" style="3" bestFit="1" customWidth="1"/>
    <col min="4" max="4" width="48.42578125" style="3" customWidth="1"/>
    <col min="5" max="5" width="18" style="3" customWidth="1"/>
    <col min="6" max="6" width="18.42578125" style="3" bestFit="1" customWidth="1"/>
    <col min="7" max="7" width="31.85546875" style="3" bestFit="1" customWidth="1"/>
    <col min="8" max="8" width="23.28515625" style="3" customWidth="1"/>
    <col min="9" max="9" width="23" style="3" customWidth="1"/>
    <col min="10" max="10" width="32.7109375" style="3" customWidth="1"/>
    <col min="11" max="16384" width="10.85546875" style="3"/>
  </cols>
  <sheetData>
    <row r="1" spans="1:12" ht="21" x14ac:dyDescent="0.25">
      <c r="A1" s="175" t="s">
        <v>330</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t="s">
        <v>302</v>
      </c>
      <c r="B6" s="5"/>
      <c r="C6" s="130"/>
      <c r="D6" s="5"/>
      <c r="E6" s="1"/>
      <c r="H6" s="1"/>
      <c r="I6" s="1"/>
      <c r="J6" s="2"/>
      <c r="K6" s="2"/>
      <c r="L6" s="2"/>
    </row>
    <row r="7" spans="1:12" x14ac:dyDescent="0.25">
      <c r="A7" s="1"/>
      <c r="B7" s="5"/>
      <c r="C7" s="1"/>
      <c r="D7" s="1"/>
      <c r="E7" s="1"/>
      <c r="F7" s="11"/>
      <c r="G7" s="5"/>
      <c r="H7" s="1"/>
      <c r="I7" s="1"/>
      <c r="J7" s="2"/>
      <c r="K7" s="2"/>
      <c r="L7" s="2"/>
    </row>
    <row r="8" spans="1:12" ht="15.75" x14ac:dyDescent="0.25">
      <c r="A8" s="182" t="s">
        <v>6</v>
      </c>
      <c r="B8" s="183"/>
      <c r="C8" s="183"/>
      <c r="D8" s="184"/>
      <c r="E8" s="1"/>
      <c r="F8" s="176"/>
      <c r="G8" s="176"/>
      <c r="H8" s="2"/>
    </row>
    <row r="9" spans="1:12" s="18" customFormat="1" ht="47.25" customHeight="1" x14ac:dyDescent="0.25">
      <c r="A9" s="12" t="s">
        <v>325</v>
      </c>
      <c r="B9" s="13"/>
      <c r="C9" s="14" t="s">
        <v>8</v>
      </c>
      <c r="D9" s="15" t="s">
        <v>9</v>
      </c>
      <c r="E9" s="16"/>
      <c r="F9" s="125"/>
      <c r="G9" s="17" t="s">
        <v>10</v>
      </c>
      <c r="H9" s="16"/>
    </row>
    <row r="10" spans="1:12" x14ac:dyDescent="0.25">
      <c r="A10" s="19" t="s">
        <v>11</v>
      </c>
      <c r="B10" s="172" t="s">
        <v>12</v>
      </c>
      <c r="C10" s="173"/>
      <c r="D10" s="174"/>
      <c r="E10" s="2"/>
      <c r="F10" s="20"/>
      <c r="G10" s="21" t="s">
        <v>13</v>
      </c>
      <c r="H10" s="2"/>
    </row>
    <row r="11" spans="1:12" ht="41.25" customHeight="1" x14ac:dyDescent="0.25">
      <c r="A11" s="22">
        <v>1</v>
      </c>
      <c r="B11" s="23" t="s">
        <v>303</v>
      </c>
      <c r="C11" s="24">
        <v>19000000</v>
      </c>
      <c r="D11" s="23" t="s">
        <v>304</v>
      </c>
      <c r="E11" s="2"/>
      <c r="F11" s="25">
        <v>0.1</v>
      </c>
      <c r="G11" s="26">
        <f>C11*(1-F11)^5</f>
        <v>11219310.000000004</v>
      </c>
      <c r="H11" s="2"/>
    </row>
    <row r="12" spans="1:12" ht="30.75" customHeight="1" x14ac:dyDescent="0.25">
      <c r="A12" s="27">
        <v>2</v>
      </c>
      <c r="B12" s="23" t="s">
        <v>15</v>
      </c>
      <c r="C12" s="24">
        <v>32000000</v>
      </c>
      <c r="D12" s="23" t="s">
        <v>331</v>
      </c>
      <c r="E12" s="2"/>
      <c r="F12" s="25">
        <v>0.05</v>
      </c>
      <c r="G12" s="26">
        <f>C12*(1-F12)^5</f>
        <v>24760990</v>
      </c>
      <c r="H12" s="2"/>
    </row>
    <row r="13" spans="1:12" ht="35.25" customHeight="1" x14ac:dyDescent="0.25">
      <c r="A13" s="27">
        <v>3</v>
      </c>
      <c r="B13" s="23" t="s">
        <v>305</v>
      </c>
      <c r="C13" s="24">
        <f>82534000-10000000</f>
        <v>72534000</v>
      </c>
      <c r="D13" s="23" t="s">
        <v>332</v>
      </c>
      <c r="E13" s="2"/>
      <c r="F13" s="25">
        <v>0.2</v>
      </c>
      <c r="G13" s="26">
        <f>C13*(1-F13)^5</f>
        <v>23767941.120000012</v>
      </c>
      <c r="H13" s="2"/>
    </row>
    <row r="14" spans="1:12" ht="31.5" customHeight="1" x14ac:dyDescent="0.25">
      <c r="A14" s="27">
        <v>4</v>
      </c>
      <c r="B14" s="23"/>
      <c r="C14" s="24"/>
      <c r="D14" s="100"/>
      <c r="E14" s="2"/>
      <c r="F14" s="25">
        <v>0.2</v>
      </c>
      <c r="G14" s="26">
        <f>C14*(1-F14)^5</f>
        <v>0</v>
      </c>
      <c r="H14" s="2"/>
    </row>
    <row r="15" spans="1:12" x14ac:dyDescent="0.25">
      <c r="A15" s="29"/>
      <c r="B15" s="30"/>
      <c r="C15" s="31">
        <f>SUM(C11:C14)</f>
        <v>123534000</v>
      </c>
      <c r="D15" s="32"/>
      <c r="E15" s="2"/>
      <c r="F15" s="33"/>
      <c r="G15" s="34" t="s">
        <v>18</v>
      </c>
      <c r="H15" s="2"/>
    </row>
    <row r="16" spans="1:12" x14ac:dyDescent="0.25">
      <c r="A16" s="19" t="s">
        <v>11</v>
      </c>
      <c r="B16" s="177" t="s">
        <v>326</v>
      </c>
      <c r="C16" s="177"/>
      <c r="D16" s="177"/>
      <c r="E16" s="2"/>
      <c r="F16" s="20"/>
      <c r="G16" s="35"/>
      <c r="H16" s="2"/>
    </row>
    <row r="17" spans="1:15" x14ac:dyDescent="0.25">
      <c r="A17" s="22">
        <v>1</v>
      </c>
      <c r="B17" s="23" t="s">
        <v>257</v>
      </c>
      <c r="C17" s="24">
        <v>2000000</v>
      </c>
      <c r="D17" s="23" t="s">
        <v>18</v>
      </c>
      <c r="E17" s="2"/>
      <c r="F17" s="33"/>
      <c r="G17" s="34" t="s">
        <v>18</v>
      </c>
      <c r="H17" s="2"/>
    </row>
    <row r="18" spans="1:15" x14ac:dyDescent="0.25">
      <c r="A18" s="22">
        <v>2</v>
      </c>
      <c r="B18" s="36"/>
      <c r="C18" s="37">
        <f>SUM(C17)</f>
        <v>2000000</v>
      </c>
      <c r="D18" s="38"/>
      <c r="E18" s="39"/>
      <c r="F18" s="33"/>
      <c r="G18" s="34" t="s">
        <v>18</v>
      </c>
      <c r="H18" s="2"/>
    </row>
    <row r="19" spans="1:15" ht="15.75" customHeight="1" x14ac:dyDescent="0.25">
      <c r="A19" s="19" t="s">
        <v>11</v>
      </c>
      <c r="B19" s="172" t="s">
        <v>22</v>
      </c>
      <c r="C19" s="173"/>
      <c r="D19" s="174"/>
      <c r="E19" s="2"/>
      <c r="F19" s="20"/>
      <c r="G19" s="35"/>
      <c r="H19" s="2"/>
    </row>
    <row r="20" spans="1:15" ht="15.75" customHeight="1" x14ac:dyDescent="0.25">
      <c r="A20" s="22">
        <v>1</v>
      </c>
      <c r="B20" s="23" t="s">
        <v>23</v>
      </c>
      <c r="C20" s="24"/>
      <c r="D20" s="40" t="s">
        <v>18</v>
      </c>
      <c r="E20" s="2"/>
      <c r="F20" s="33"/>
      <c r="G20" s="34" t="s">
        <v>18</v>
      </c>
      <c r="H20" s="2"/>
    </row>
    <row r="21" spans="1:15" ht="17.25" customHeight="1" x14ac:dyDescent="0.25">
      <c r="A21" s="22">
        <v>2</v>
      </c>
      <c r="B21" s="23" t="s">
        <v>24</v>
      </c>
      <c r="C21" s="24">
        <v>5000000</v>
      </c>
      <c r="D21" s="40" t="s">
        <v>18</v>
      </c>
      <c r="E21" s="2"/>
      <c r="F21" s="33"/>
      <c r="G21" s="34" t="s">
        <v>18</v>
      </c>
      <c r="H21" s="2"/>
    </row>
    <row r="22" spans="1:15" x14ac:dyDescent="0.25">
      <c r="A22" s="165"/>
      <c r="B22" s="166"/>
      <c r="C22" s="41">
        <f>SUM(C20:C21)</f>
        <v>5000000</v>
      </c>
      <c r="E22" s="42"/>
      <c r="F22" s="33"/>
      <c r="G22" s="43">
        <f>SUM(G11:G21)</f>
        <v>59748241.120000012</v>
      </c>
      <c r="I22" s="2"/>
    </row>
    <row r="23" spans="1:15" x14ac:dyDescent="0.25">
      <c r="A23" s="44"/>
      <c r="B23" s="45" t="s">
        <v>26</v>
      </c>
      <c r="C23" s="46">
        <f>SUM(C15+C18+C22)</f>
        <v>130534000</v>
      </c>
      <c r="G23" s="2"/>
      <c r="H23" s="2"/>
      <c r="I23" s="2"/>
      <c r="J23" s="2"/>
      <c r="K23" s="2"/>
    </row>
    <row r="24" spans="1:15" x14ac:dyDescent="0.25">
      <c r="A24" s="47"/>
      <c r="B24" s="48"/>
      <c r="C24" s="42"/>
      <c r="D24" s="49"/>
      <c r="E24" s="50"/>
      <c r="F24" s="50"/>
      <c r="G24" s="51"/>
      <c r="H24" s="52"/>
      <c r="I24" s="2"/>
      <c r="J24" s="2"/>
      <c r="K24" s="2"/>
      <c r="L24" s="2"/>
    </row>
    <row r="25" spans="1:15" x14ac:dyDescent="0.25">
      <c r="A25" s="1"/>
      <c r="B25" s="48"/>
      <c r="C25" s="1"/>
      <c r="D25" s="1"/>
      <c r="E25" s="1"/>
      <c r="F25" s="1"/>
      <c r="G25" s="1"/>
      <c r="H25" s="2"/>
      <c r="I25" s="1"/>
      <c r="J25" s="2"/>
      <c r="K25" s="2"/>
      <c r="L25" s="2"/>
    </row>
    <row r="26" spans="1:15" ht="15.75" x14ac:dyDescent="0.25">
      <c r="A26" s="182" t="s">
        <v>27</v>
      </c>
      <c r="B26" s="183"/>
      <c r="C26" s="183"/>
      <c r="D26" s="183"/>
      <c r="E26" s="183"/>
      <c r="F26" s="183"/>
      <c r="G26" s="183"/>
      <c r="H26" s="183"/>
      <c r="I26" s="184"/>
      <c r="J26" s="54"/>
      <c r="K26" s="54"/>
      <c r="L26" s="54"/>
      <c r="M26" s="54"/>
      <c r="N26" s="54"/>
    </row>
    <row r="27" spans="1:15" x14ac:dyDescent="0.25">
      <c r="A27" s="167" t="s">
        <v>11</v>
      </c>
      <c r="B27" s="167" t="s">
        <v>28</v>
      </c>
      <c r="C27" s="167" t="s">
        <v>236</v>
      </c>
      <c r="D27" s="167" t="s">
        <v>306</v>
      </c>
      <c r="E27" s="55" t="s">
        <v>31</v>
      </c>
      <c r="F27" s="56" t="s">
        <v>32</v>
      </c>
      <c r="G27" s="56" t="s">
        <v>33</v>
      </c>
      <c r="H27" s="56" t="s">
        <v>34</v>
      </c>
      <c r="I27" s="56" t="s">
        <v>35</v>
      </c>
      <c r="J27" s="11"/>
      <c r="M27" s="2"/>
      <c r="N27" s="2"/>
    </row>
    <row r="28" spans="1:15" x14ac:dyDescent="0.25">
      <c r="A28" s="168"/>
      <c r="B28" s="168"/>
      <c r="C28" s="168"/>
      <c r="D28" s="168"/>
      <c r="E28" s="169" t="s">
        <v>39</v>
      </c>
      <c r="F28" s="170"/>
      <c r="G28" s="170"/>
      <c r="H28" s="170"/>
      <c r="I28" s="171"/>
      <c r="J28" s="58"/>
      <c r="K28" s="2"/>
      <c r="L28" s="2"/>
    </row>
    <row r="29" spans="1:15" ht="18.75" customHeight="1" x14ac:dyDescent="0.25">
      <c r="A29" s="59">
        <v>1</v>
      </c>
      <c r="B29" s="60" t="s">
        <v>307</v>
      </c>
      <c r="C29" s="10">
        <f>15845*3</f>
        <v>47535</v>
      </c>
      <c r="D29" s="126">
        <v>268</v>
      </c>
      <c r="E29" s="62">
        <f>C29*D29*1.2</f>
        <v>15287256</v>
      </c>
      <c r="F29" s="63">
        <f>($D29*(1+$G$3))*($C29*1.4)</f>
        <v>18459361.620000001</v>
      </c>
      <c r="G29" s="63">
        <f>($D29*(1+$G$3))*($C29*1.6)</f>
        <v>21096413.280000001</v>
      </c>
      <c r="H29" s="63">
        <f>($D29*(1+$G$3))*($C29*1.8)</f>
        <v>23733464.940000001</v>
      </c>
      <c r="I29" s="63">
        <f>($D29*(1+$G$3))*($C29*2)</f>
        <v>26370516.599999998</v>
      </c>
      <c r="J29" s="154" t="s">
        <v>333</v>
      </c>
      <c r="K29" s="155"/>
      <c r="L29" s="155"/>
      <c r="M29" s="155"/>
      <c r="N29" s="155"/>
      <c r="O29" s="155"/>
    </row>
    <row r="30" spans="1:15" ht="18.75" customHeight="1" x14ac:dyDescent="0.25">
      <c r="A30" s="59">
        <v>2</v>
      </c>
      <c r="B30" s="60" t="s">
        <v>308</v>
      </c>
      <c r="C30" s="10">
        <f>15845*6</f>
        <v>95070</v>
      </c>
      <c r="D30" s="126">
        <v>176</v>
      </c>
      <c r="E30" s="62">
        <f>C30*D30*1.2</f>
        <v>20078784</v>
      </c>
      <c r="F30" s="63">
        <f>($D30*(1+$G$3))*($C30*1.4)</f>
        <v>24245131.68</v>
      </c>
      <c r="G30" s="63">
        <f>($D30*(1+$G$3))*($C30*1.6)</f>
        <v>27708721.919999998</v>
      </c>
      <c r="H30" s="63">
        <f>($D30*(1+$G$3))*($C30*1.8)</f>
        <v>31172312.16</v>
      </c>
      <c r="I30" s="63">
        <f>($D30*(1+$G$3))*($C30*2)</f>
        <v>34635902.399999999</v>
      </c>
      <c r="J30" s="123"/>
      <c r="K30" s="124"/>
      <c r="L30" s="124"/>
      <c r="M30" s="124"/>
      <c r="N30" s="124"/>
      <c r="O30" s="124"/>
    </row>
    <row r="31" spans="1:15" x14ac:dyDescent="0.25">
      <c r="A31" s="59">
        <v>3</v>
      </c>
      <c r="B31" s="60" t="s">
        <v>309</v>
      </c>
      <c r="C31" s="10">
        <f>15845*7</f>
        <v>110915</v>
      </c>
      <c r="D31" s="126">
        <v>40</v>
      </c>
      <c r="E31" s="62">
        <f>C31*D31*1.2</f>
        <v>5323920</v>
      </c>
      <c r="F31" s="63">
        <f>($D31*(1+$G$3))*($C31*1.4)</f>
        <v>6428633.3999999994</v>
      </c>
      <c r="G31" s="63">
        <f>($D31*(1+$G$3))*($C31*1.6)</f>
        <v>7347009.5999999996</v>
      </c>
      <c r="H31" s="63">
        <f>($D31*(1+$G$3))*($C31*1.8)</f>
        <v>8265385.7999999998</v>
      </c>
      <c r="I31" s="63">
        <f>($D31*(1+$G$3))*($C31*2)</f>
        <v>9183762</v>
      </c>
      <c r="J31" s="123"/>
      <c r="K31" s="1"/>
      <c r="L31" s="2"/>
      <c r="M31" s="2"/>
      <c r="N31" s="2"/>
    </row>
    <row r="32" spans="1:15" ht="15" customHeight="1" x14ac:dyDescent="0.25">
      <c r="A32" s="107">
        <v>4</v>
      </c>
      <c r="B32" s="60"/>
      <c r="C32" s="10"/>
      <c r="D32" s="10"/>
      <c r="E32" s="62">
        <f t="shared" ref="E32" si="0">C32*D32</f>
        <v>0</v>
      </c>
      <c r="F32" s="63">
        <f>($D32*(1+$G$3))*$C32</f>
        <v>0</v>
      </c>
      <c r="G32" s="63">
        <f t="shared" ref="G32:I32" si="1">(F32*(1+$G$3))</f>
        <v>0</v>
      </c>
      <c r="H32" s="63">
        <f t="shared" si="1"/>
        <v>0</v>
      </c>
      <c r="I32" s="63">
        <f t="shared" si="1"/>
        <v>0</v>
      </c>
      <c r="K32" s="66"/>
      <c r="L32" s="66"/>
      <c r="M32" s="2"/>
      <c r="N32" s="2"/>
    </row>
    <row r="33" spans="1:14" ht="15" customHeight="1" x14ac:dyDescent="0.25">
      <c r="A33" s="5"/>
      <c r="B33" s="156" t="s">
        <v>43</v>
      </c>
      <c r="C33" s="157"/>
      <c r="D33" s="158"/>
      <c r="E33" s="46">
        <f>SUM(E29:E32)</f>
        <v>40689960</v>
      </c>
      <c r="F33" s="46">
        <f>SUM(F29:F32)</f>
        <v>49133126.699999996</v>
      </c>
      <c r="G33" s="46">
        <f t="shared" ref="G33:H33" si="2">SUM(G29:G32)</f>
        <v>56152144.800000004</v>
      </c>
      <c r="H33" s="46">
        <f t="shared" si="2"/>
        <v>63171162.899999999</v>
      </c>
      <c r="I33" s="46">
        <f>SUM(I29:I32)</f>
        <v>70190181</v>
      </c>
      <c r="J33" s="66"/>
      <c r="K33" s="2"/>
      <c r="L33" s="2"/>
    </row>
    <row r="34" spans="1:14" x14ac:dyDescent="0.25">
      <c r="A34" s="2"/>
      <c r="B34" s="48"/>
      <c r="C34" s="67"/>
      <c r="D34" s="68"/>
      <c r="E34" s="68"/>
      <c r="F34" s="68"/>
      <c r="G34" s="68"/>
      <c r="H34" s="68"/>
      <c r="I34" s="1"/>
      <c r="J34" s="11"/>
      <c r="K34" s="66"/>
      <c r="L34" s="66"/>
      <c r="M34" s="2"/>
      <c r="N34" s="2"/>
    </row>
    <row r="35" spans="1:14" x14ac:dyDescent="0.25">
      <c r="A35" s="2"/>
      <c r="B35" s="69"/>
      <c r="C35" s="67"/>
      <c r="D35" s="68"/>
      <c r="E35" s="68"/>
      <c r="F35" s="68"/>
      <c r="G35" s="68"/>
      <c r="H35" s="68"/>
      <c r="I35" s="1"/>
      <c r="J35" s="11"/>
      <c r="M35" s="2"/>
      <c r="N35" s="2"/>
    </row>
    <row r="36" spans="1:14" ht="15.75" x14ac:dyDescent="0.25">
      <c r="A36" s="185" t="s">
        <v>44</v>
      </c>
      <c r="B36" s="186"/>
      <c r="C36" s="186"/>
      <c r="D36" s="186"/>
      <c r="E36" s="186"/>
      <c r="F36" s="186"/>
      <c r="G36" s="186"/>
      <c r="H36" s="186"/>
      <c r="I36" s="186"/>
      <c r="J36" s="187"/>
      <c r="K36" s="54"/>
      <c r="L36" s="54"/>
      <c r="M36" s="54"/>
      <c r="N36" s="44"/>
    </row>
    <row r="37" spans="1:14" ht="15" customHeight="1" x14ac:dyDescent="0.25">
      <c r="A37" s="56" t="s">
        <v>11</v>
      </c>
      <c r="B37" s="70" t="s">
        <v>325</v>
      </c>
      <c r="C37" s="71" t="s">
        <v>328</v>
      </c>
      <c r="D37" s="71" t="s">
        <v>335</v>
      </c>
      <c r="E37" s="55" t="s">
        <v>31</v>
      </c>
      <c r="F37" s="56" t="s">
        <v>32</v>
      </c>
      <c r="G37" s="56" t="s">
        <v>33</v>
      </c>
      <c r="H37" s="56" t="s">
        <v>34</v>
      </c>
      <c r="I37" s="56" t="s">
        <v>35</v>
      </c>
      <c r="J37" s="14" t="s">
        <v>9</v>
      </c>
    </row>
    <row r="38" spans="1:14" ht="15" customHeight="1" x14ac:dyDescent="0.25">
      <c r="A38" s="101"/>
      <c r="B38" s="163" t="s">
        <v>47</v>
      </c>
      <c r="C38" s="163"/>
      <c r="D38" s="163"/>
      <c r="E38" s="163"/>
      <c r="F38" s="163"/>
      <c r="G38" s="163"/>
      <c r="H38" s="163"/>
      <c r="I38" s="164"/>
      <c r="J38" s="73"/>
    </row>
    <row r="39" spans="1:14" ht="25.5" x14ac:dyDescent="0.25">
      <c r="A39" s="59" t="s">
        <v>48</v>
      </c>
      <c r="B39" s="74" t="s">
        <v>149</v>
      </c>
      <c r="C39" s="9">
        <v>1</v>
      </c>
      <c r="D39" s="127">
        <v>2000000</v>
      </c>
      <c r="E39" s="75">
        <f>C39*D39*1.2</f>
        <v>2400000</v>
      </c>
      <c r="F39" s="75">
        <f>E39*(1+$G$3)*1.2</f>
        <v>2980800</v>
      </c>
      <c r="G39" s="75">
        <f>F39*(1+$G$3)*1.1</f>
        <v>3393640.8</v>
      </c>
      <c r="H39" s="75">
        <f>G39*(1+$G$3)*1.2</f>
        <v>4214901.8735999996</v>
      </c>
      <c r="I39" s="75">
        <f>H39*(1+$G$3)*1.2</f>
        <v>5234908.1270111986</v>
      </c>
      <c r="J39" s="76" t="s">
        <v>310</v>
      </c>
      <c r="K39" s="2"/>
      <c r="L39" s="2"/>
      <c r="M39" s="2"/>
    </row>
    <row r="40" spans="1:14" x14ac:dyDescent="0.25">
      <c r="A40" s="59" t="s">
        <v>51</v>
      </c>
      <c r="B40" s="74" t="s">
        <v>55</v>
      </c>
      <c r="C40" s="9"/>
      <c r="D40" s="127"/>
      <c r="E40" s="75">
        <f t="shared" ref="E40:E50" si="3">C40*D40</f>
        <v>0</v>
      </c>
      <c r="F40" s="75">
        <f>E40*(1+$G$3)</f>
        <v>0</v>
      </c>
      <c r="G40" s="75">
        <f>F40*(1+$G$3)</f>
        <v>0</v>
      </c>
      <c r="H40" s="75"/>
      <c r="I40" s="75"/>
      <c r="J40" s="10"/>
      <c r="K40" s="2"/>
      <c r="L40" s="2"/>
      <c r="M40" s="2"/>
    </row>
    <row r="41" spans="1:14" x14ac:dyDescent="0.25">
      <c r="A41" s="59" t="s">
        <v>54</v>
      </c>
      <c r="B41" s="60" t="s">
        <v>311</v>
      </c>
      <c r="C41" s="9">
        <v>12</v>
      </c>
      <c r="D41" s="127">
        <f>2471040/12</f>
        <v>205920</v>
      </c>
      <c r="E41" s="75">
        <f>$C$41*$D$41</f>
        <v>2471040</v>
      </c>
      <c r="F41" s="75">
        <f t="shared" ref="F41:I41" si="4">$C$41*$D$41</f>
        <v>2471040</v>
      </c>
      <c r="G41" s="75">
        <f>$C$41*$D$41</f>
        <v>2471040</v>
      </c>
      <c r="H41" s="75">
        <f t="shared" si="4"/>
        <v>2471040</v>
      </c>
      <c r="I41" s="75">
        <f t="shared" si="4"/>
        <v>2471040</v>
      </c>
      <c r="J41" s="10"/>
      <c r="K41" s="2"/>
    </row>
    <row r="42" spans="1:14" x14ac:dyDescent="0.25">
      <c r="A42" s="59" t="s">
        <v>57</v>
      </c>
      <c r="B42" s="60"/>
      <c r="C42" s="9"/>
      <c r="D42" s="127"/>
      <c r="E42" s="75">
        <f t="shared" si="3"/>
        <v>0</v>
      </c>
      <c r="F42" s="75">
        <f>D42*C42</f>
        <v>0</v>
      </c>
      <c r="G42" s="75">
        <f>F42*(1+$G$3)</f>
        <v>0</v>
      </c>
      <c r="H42" s="75">
        <f t="shared" ref="H42:I42" si="5">G42</f>
        <v>0</v>
      </c>
      <c r="I42" s="75">
        <f t="shared" si="5"/>
        <v>0</v>
      </c>
      <c r="J42" s="10"/>
      <c r="K42" s="2"/>
    </row>
    <row r="43" spans="1:14" x14ac:dyDescent="0.25">
      <c r="A43" s="56">
        <v>2</v>
      </c>
      <c r="B43" s="140" t="s">
        <v>60</v>
      </c>
      <c r="C43" s="141"/>
      <c r="D43" s="141"/>
      <c r="E43" s="141"/>
      <c r="F43" s="141"/>
      <c r="G43" s="141"/>
      <c r="H43" s="141"/>
      <c r="I43" s="142"/>
      <c r="J43" s="77"/>
      <c r="K43" s="2"/>
    </row>
    <row r="44" spans="1:14" x14ac:dyDescent="0.25">
      <c r="A44" s="59" t="s">
        <v>48</v>
      </c>
      <c r="B44" s="78" t="s">
        <v>312</v>
      </c>
      <c r="C44" s="9">
        <v>2</v>
      </c>
      <c r="D44" s="127">
        <f>250000*12</f>
        <v>3000000</v>
      </c>
      <c r="E44" s="75">
        <f>C44*D44</f>
        <v>6000000</v>
      </c>
      <c r="F44" s="75">
        <f>E44*(1+$G$3)</f>
        <v>6209999.9999999991</v>
      </c>
      <c r="G44" s="75">
        <f>F44*(1+$G$3)</f>
        <v>6427349.9999999981</v>
      </c>
      <c r="H44" s="75">
        <f>G44*(1+$G$3)</f>
        <v>6652307.2499999972</v>
      </c>
      <c r="I44" s="75">
        <f>H44*(1+$G$3)</f>
        <v>6885138.0037499964</v>
      </c>
      <c r="J44" s="10" t="s">
        <v>313</v>
      </c>
      <c r="K44" s="2"/>
    </row>
    <row r="45" spans="1:14" ht="27.75" customHeight="1" x14ac:dyDescent="0.25">
      <c r="A45" s="56" t="s">
        <v>51</v>
      </c>
      <c r="B45" s="74" t="s">
        <v>314</v>
      </c>
      <c r="C45" s="9">
        <v>12</v>
      </c>
      <c r="D45" s="127">
        <v>250000</v>
      </c>
      <c r="E45" s="75">
        <f>$C$45*$D$45</f>
        <v>3000000</v>
      </c>
      <c r="F45" s="75">
        <f t="shared" ref="F45:I45" si="6">$C$45*$D$45</f>
        <v>3000000</v>
      </c>
      <c r="G45" s="75">
        <f t="shared" si="6"/>
        <v>3000000</v>
      </c>
      <c r="H45" s="75">
        <f t="shared" si="6"/>
        <v>3000000</v>
      </c>
      <c r="I45" s="75">
        <f t="shared" si="6"/>
        <v>3000000</v>
      </c>
      <c r="J45" s="76" t="s">
        <v>315</v>
      </c>
      <c r="K45" s="2"/>
    </row>
    <row r="46" spans="1:14" ht="27.75" customHeight="1" x14ac:dyDescent="0.25">
      <c r="A46" s="56"/>
      <c r="B46" s="74" t="s">
        <v>316</v>
      </c>
      <c r="C46" s="9">
        <v>12</v>
      </c>
      <c r="D46" s="127">
        <f>1542240/12</f>
        <v>128520</v>
      </c>
      <c r="E46" s="75">
        <f>$C$46*$D$46*1.2</f>
        <v>1850688</v>
      </c>
      <c r="F46" s="75">
        <f>$C$46*$D$46*1.4</f>
        <v>2159136</v>
      </c>
      <c r="G46" s="75">
        <f>$C$46*$D$46*1.6</f>
        <v>2467584</v>
      </c>
      <c r="H46" s="75">
        <f>$C$46*$D$46*1.8</f>
        <v>2776032</v>
      </c>
      <c r="I46" s="75">
        <f>$C$46*$D$46*2</f>
        <v>3084480</v>
      </c>
      <c r="J46" s="76" t="s">
        <v>315</v>
      </c>
      <c r="K46" s="2"/>
    </row>
    <row r="47" spans="1:14" ht="26.25" customHeight="1" x14ac:dyDescent="0.25">
      <c r="A47" s="56" t="s">
        <v>54</v>
      </c>
      <c r="B47" s="74" t="s">
        <v>317</v>
      </c>
      <c r="C47" s="132">
        <v>12</v>
      </c>
      <c r="D47" s="127">
        <f>1000000/12</f>
        <v>83333.333333333328</v>
      </c>
      <c r="E47" s="75">
        <f>$C$47*$D$47</f>
        <v>1000000</v>
      </c>
      <c r="F47" s="75">
        <f t="shared" ref="F47:I47" si="7">E47*(1+$G$3)</f>
        <v>1034999.9999999999</v>
      </c>
      <c r="G47" s="75">
        <f t="shared" si="7"/>
        <v>1071224.9999999998</v>
      </c>
      <c r="H47" s="75">
        <f t="shared" si="7"/>
        <v>1108717.8749999998</v>
      </c>
      <c r="I47" s="75">
        <f t="shared" si="7"/>
        <v>1147523.0006249996</v>
      </c>
      <c r="J47" s="10"/>
      <c r="K47" s="2"/>
    </row>
    <row r="48" spans="1:14" x14ac:dyDescent="0.25">
      <c r="A48" s="56">
        <v>3</v>
      </c>
      <c r="B48" s="162" t="s">
        <v>75</v>
      </c>
      <c r="C48" s="163"/>
      <c r="D48" s="163"/>
      <c r="E48" s="163"/>
      <c r="F48" s="163"/>
      <c r="G48" s="163"/>
      <c r="H48" s="163"/>
      <c r="I48" s="164"/>
      <c r="J48" s="77"/>
      <c r="K48" s="2"/>
    </row>
    <row r="49" spans="1:12" ht="42.75" customHeight="1" x14ac:dyDescent="0.25">
      <c r="A49" s="59" t="s">
        <v>48</v>
      </c>
      <c r="B49" s="78" t="s">
        <v>334</v>
      </c>
      <c r="C49" s="9">
        <v>1</v>
      </c>
      <c r="D49" s="127">
        <v>2500000</v>
      </c>
      <c r="E49" s="75">
        <f>$C$49*$D$49</f>
        <v>2500000</v>
      </c>
      <c r="F49" s="75">
        <f t="shared" ref="F49:H49" si="8">$C$49*$D$49</f>
        <v>2500000</v>
      </c>
      <c r="G49" s="75">
        <f t="shared" si="8"/>
        <v>2500000</v>
      </c>
      <c r="H49" s="75">
        <f t="shared" si="8"/>
        <v>2500000</v>
      </c>
      <c r="I49" s="75">
        <v>0</v>
      </c>
      <c r="J49" s="76" t="s">
        <v>318</v>
      </c>
      <c r="K49" s="2"/>
    </row>
    <row r="50" spans="1:12" ht="31.5" customHeight="1" x14ac:dyDescent="0.25">
      <c r="A50" s="59" t="s">
        <v>51</v>
      </c>
      <c r="B50" s="60" t="s">
        <v>319</v>
      </c>
      <c r="C50" s="9">
        <v>12</v>
      </c>
      <c r="D50" s="127">
        <f>1300000/12</f>
        <v>108333.33333333333</v>
      </c>
      <c r="E50" s="75">
        <f t="shared" si="3"/>
        <v>1300000</v>
      </c>
      <c r="F50" s="75">
        <f t="shared" ref="F50:I50" si="9">E50*(1+$G$3)</f>
        <v>1345500</v>
      </c>
      <c r="G50" s="75">
        <f t="shared" si="9"/>
        <v>1392592.5</v>
      </c>
      <c r="H50" s="75">
        <f t="shared" si="9"/>
        <v>1441333.2374999998</v>
      </c>
      <c r="I50" s="75">
        <f t="shared" si="9"/>
        <v>1491779.9008124997</v>
      </c>
      <c r="J50" s="10"/>
      <c r="K50" s="2"/>
    </row>
    <row r="51" spans="1:12" x14ac:dyDescent="0.25">
      <c r="A51" s="56"/>
      <c r="B51" s="70" t="s">
        <v>79</v>
      </c>
      <c r="C51" s="70"/>
      <c r="D51" s="70"/>
      <c r="E51" s="46">
        <f>SUM(E39:E50)</f>
        <v>20521728</v>
      </c>
      <c r="F51" s="46">
        <f>SUM(F39:F50)</f>
        <v>21701476</v>
      </c>
      <c r="G51" s="46">
        <f>SUM(G39:G50)</f>
        <v>22723432.299999997</v>
      </c>
      <c r="H51" s="46">
        <f>SUM(H39:H50)</f>
        <v>24164332.236099999</v>
      </c>
      <c r="I51" s="46">
        <f>SUM(I39:I50)</f>
        <v>23314869.032198694</v>
      </c>
      <c r="J51" s="80"/>
      <c r="K51" s="2"/>
    </row>
    <row r="52" spans="1:12" x14ac:dyDescent="0.25">
      <c r="A52" s="2"/>
      <c r="B52" s="48"/>
      <c r="C52" s="1"/>
      <c r="D52" s="1"/>
      <c r="E52" s="11"/>
      <c r="F52" s="1"/>
      <c r="G52" s="1"/>
      <c r="H52" s="1"/>
      <c r="I52" s="1"/>
      <c r="J52" s="1"/>
      <c r="K52" s="2"/>
      <c r="L52" s="2"/>
    </row>
    <row r="53" spans="1:12" x14ac:dyDescent="0.25">
      <c r="A53" s="2"/>
      <c r="B53" s="2"/>
      <c r="C53" s="81"/>
      <c r="D53" s="2"/>
      <c r="E53" s="2"/>
      <c r="F53" s="2"/>
      <c r="G53" s="2"/>
      <c r="H53" s="2"/>
      <c r="I53" s="2"/>
      <c r="J53" s="2"/>
      <c r="K53" s="2"/>
      <c r="L53" s="2"/>
    </row>
    <row r="54" spans="1:12" x14ac:dyDescent="0.25">
      <c r="A54" s="2"/>
      <c r="B54" s="2"/>
      <c r="C54" s="81"/>
      <c r="D54" s="2"/>
      <c r="E54" s="2"/>
      <c r="F54" s="2"/>
      <c r="G54" s="2"/>
      <c r="H54" s="2"/>
      <c r="I54" s="2"/>
      <c r="J54" s="2"/>
      <c r="K54" s="2"/>
      <c r="L54" s="2"/>
    </row>
    <row r="55" spans="1:12" ht="15.75" x14ac:dyDescent="0.25">
      <c r="A55" s="178" t="s">
        <v>80</v>
      </c>
      <c r="B55" s="179"/>
      <c r="C55" s="179"/>
      <c r="D55" s="179"/>
      <c r="E55" s="179"/>
      <c r="F55" s="179"/>
      <c r="G55" s="179"/>
      <c r="H55" s="180"/>
      <c r="I55" s="2"/>
      <c r="J55" s="2"/>
      <c r="K55" s="2"/>
      <c r="L55" s="2"/>
    </row>
    <row r="56" spans="1:12" x14ac:dyDescent="0.25">
      <c r="A56" s="56" t="s">
        <v>11</v>
      </c>
      <c r="B56" s="82" t="s">
        <v>81</v>
      </c>
      <c r="C56" s="83" t="s">
        <v>82</v>
      </c>
      <c r="D56" s="84" t="s">
        <v>31</v>
      </c>
      <c r="E56" s="84" t="s">
        <v>32</v>
      </c>
      <c r="F56" s="84" t="s">
        <v>33</v>
      </c>
      <c r="G56" s="84" t="s">
        <v>34</v>
      </c>
      <c r="H56" s="84" t="s">
        <v>35</v>
      </c>
      <c r="I56" s="85"/>
      <c r="J56" s="85"/>
      <c r="K56" s="2"/>
      <c r="L56" s="2"/>
    </row>
    <row r="57" spans="1:12" x14ac:dyDescent="0.25">
      <c r="A57" s="59">
        <v>1</v>
      </c>
      <c r="B57" s="86" t="s">
        <v>83</v>
      </c>
      <c r="C57" s="87"/>
      <c r="D57" s="87">
        <f>E33</f>
        <v>40689960</v>
      </c>
      <c r="E57" s="87">
        <f>F33</f>
        <v>49133126.699999996</v>
      </c>
      <c r="F57" s="87">
        <f>G33</f>
        <v>56152144.800000004</v>
      </c>
      <c r="G57" s="87">
        <f>H33</f>
        <v>63171162.899999999</v>
      </c>
      <c r="H57" s="87">
        <f>I33</f>
        <v>70190181</v>
      </c>
      <c r="I57" s="88"/>
      <c r="J57" s="88"/>
      <c r="K57" s="2"/>
      <c r="L57" s="2"/>
    </row>
    <row r="58" spans="1:12" x14ac:dyDescent="0.25">
      <c r="A58" s="59">
        <v>2</v>
      </c>
      <c r="B58" s="86" t="s">
        <v>84</v>
      </c>
      <c r="C58" s="89"/>
      <c r="D58" s="87">
        <f>E51</f>
        <v>20521728</v>
      </c>
      <c r="E58" s="87">
        <f>F51</f>
        <v>21701476</v>
      </c>
      <c r="F58" s="87">
        <f>G51</f>
        <v>22723432.299999997</v>
      </c>
      <c r="G58" s="87">
        <f>H51</f>
        <v>24164332.236099999</v>
      </c>
      <c r="H58" s="87">
        <f>I51</f>
        <v>23314869.032198694</v>
      </c>
      <c r="I58" s="88"/>
      <c r="J58" s="88"/>
      <c r="K58" s="2"/>
      <c r="L58" s="2"/>
    </row>
    <row r="59" spans="1:12" x14ac:dyDescent="0.25">
      <c r="A59" s="59">
        <v>3</v>
      </c>
      <c r="B59" s="86" t="s">
        <v>85</v>
      </c>
      <c r="C59" s="89">
        <f>C23</f>
        <v>130534000</v>
      </c>
      <c r="D59" s="87"/>
      <c r="E59" s="87"/>
      <c r="F59" s="87"/>
      <c r="G59" s="87"/>
      <c r="H59" s="87"/>
      <c r="I59" s="88"/>
      <c r="J59" s="88"/>
      <c r="K59" s="2"/>
      <c r="L59" s="2"/>
    </row>
    <row r="60" spans="1:12" x14ac:dyDescent="0.25">
      <c r="A60" s="59">
        <v>4</v>
      </c>
      <c r="B60" s="86" t="s">
        <v>134</v>
      </c>
      <c r="C60" s="89">
        <f>SUM(E44:E47)/2</f>
        <v>5925344</v>
      </c>
      <c r="D60" s="87"/>
      <c r="E60" s="87"/>
      <c r="F60" s="87"/>
      <c r="G60" s="87"/>
      <c r="H60" s="87">
        <f>C60</f>
        <v>5925344</v>
      </c>
      <c r="I60" s="88"/>
      <c r="J60" s="88"/>
      <c r="K60" s="2"/>
      <c r="L60" s="2"/>
    </row>
    <row r="61" spans="1:12" x14ac:dyDescent="0.25">
      <c r="A61" s="59">
        <v>5</v>
      </c>
      <c r="B61" s="86" t="s">
        <v>87</v>
      </c>
      <c r="C61" s="89"/>
      <c r="D61" s="87"/>
      <c r="E61" s="87"/>
      <c r="F61" s="87"/>
      <c r="G61" s="87"/>
      <c r="H61" s="102">
        <f>G22</f>
        <v>59748241.120000012</v>
      </c>
      <c r="I61" s="88"/>
      <c r="J61" s="88"/>
      <c r="K61" s="2"/>
      <c r="L61" s="2"/>
    </row>
    <row r="62" spans="1:12" x14ac:dyDescent="0.25">
      <c r="A62" s="59"/>
      <c r="B62" s="86" t="s">
        <v>89</v>
      </c>
      <c r="C62" s="89">
        <f>-SUM(C59:C60)</f>
        <v>-136459344</v>
      </c>
      <c r="D62" s="87">
        <f>SUM(D57-D58-D59+D61)</f>
        <v>20168232</v>
      </c>
      <c r="E62" s="87">
        <f>SUM(E57-E58-E59+E61)</f>
        <v>27431650.699999996</v>
      </c>
      <c r="F62" s="87">
        <f>SUM(F57-F58-F59+F61)</f>
        <v>33428712.500000007</v>
      </c>
      <c r="G62" s="87">
        <f>SUM(G57-G58-G59+G61)</f>
        <v>39006830.663900003</v>
      </c>
      <c r="H62" s="87">
        <f>SUM(H57-H58-H59+H61+H60)</f>
        <v>112548897.08780131</v>
      </c>
      <c r="I62" s="88"/>
      <c r="J62" s="88"/>
      <c r="K62" s="2"/>
      <c r="L62" s="2"/>
    </row>
    <row r="63" spans="1:12" x14ac:dyDescent="0.25">
      <c r="A63" s="2"/>
      <c r="B63" s="181"/>
      <c r="C63" s="181"/>
      <c r="D63" s="181"/>
      <c r="E63" s="181"/>
      <c r="F63" s="181"/>
      <c r="G63" s="181"/>
      <c r="H63" s="181"/>
      <c r="I63" s="68"/>
      <c r="J63" s="68"/>
      <c r="K63" s="2"/>
      <c r="L63" s="2"/>
    </row>
    <row r="64" spans="1:12" x14ac:dyDescent="0.25">
      <c r="A64" s="2"/>
      <c r="B64" s="2"/>
      <c r="C64" s="2"/>
      <c r="D64" s="2"/>
      <c r="E64" s="2"/>
      <c r="F64" s="2"/>
      <c r="G64" s="2"/>
      <c r="H64" s="2"/>
      <c r="I64" s="68"/>
      <c r="J64" s="68"/>
      <c r="K64" s="2"/>
      <c r="L64" s="2"/>
    </row>
    <row r="65" spans="1:12" x14ac:dyDescent="0.25">
      <c r="A65" s="2"/>
      <c r="B65" s="2"/>
      <c r="C65" s="2"/>
      <c r="D65" s="2"/>
      <c r="E65" s="2"/>
      <c r="F65" s="2"/>
      <c r="G65" s="2"/>
      <c r="H65" s="2"/>
      <c r="I65" s="68"/>
      <c r="J65" s="68"/>
      <c r="K65" s="2"/>
      <c r="L65" s="2"/>
    </row>
    <row r="66" spans="1:12" ht="15.75" x14ac:dyDescent="0.25">
      <c r="A66" s="182" t="s">
        <v>327</v>
      </c>
      <c r="B66" s="183"/>
      <c r="C66" s="184"/>
      <c r="D66" s="2"/>
      <c r="E66" s="2"/>
      <c r="F66" s="2"/>
      <c r="G66" s="90"/>
      <c r="H66" s="2"/>
      <c r="I66" s="2"/>
      <c r="J66" s="2"/>
      <c r="K66" s="2"/>
      <c r="L66" s="2"/>
    </row>
    <row r="67" spans="1:12" x14ac:dyDescent="0.25">
      <c r="A67" s="91" t="s">
        <v>11</v>
      </c>
      <c r="B67" s="92" t="s">
        <v>91</v>
      </c>
      <c r="C67" s="92" t="s">
        <v>92</v>
      </c>
      <c r="D67" s="2"/>
      <c r="E67" s="2"/>
      <c r="F67" s="2"/>
      <c r="G67" s="2"/>
      <c r="H67" s="2"/>
      <c r="I67" s="2"/>
      <c r="J67" s="2"/>
      <c r="K67" s="85"/>
      <c r="L67" s="85"/>
    </row>
    <row r="68" spans="1:12" ht="25.5" x14ac:dyDescent="0.25">
      <c r="A68" s="93">
        <v>1</v>
      </c>
      <c r="B68" s="94" t="s">
        <v>93</v>
      </c>
      <c r="C68" s="95">
        <f>NPV(C72,D62:H62)+C62</f>
        <v>26187884.825646043</v>
      </c>
      <c r="K68" s="88"/>
      <c r="L68" s="88"/>
    </row>
    <row r="69" spans="1:12" ht="25.5" x14ac:dyDescent="0.25">
      <c r="A69" s="93">
        <v>2</v>
      </c>
      <c r="B69" s="94" t="s">
        <v>228</v>
      </c>
      <c r="C69" s="95">
        <f>NPV(C72,D62:H62)</f>
        <v>162647228.82564604</v>
      </c>
      <c r="K69" s="88"/>
      <c r="L69" s="88"/>
    </row>
    <row r="70" spans="1:12" x14ac:dyDescent="0.25">
      <c r="A70" s="93">
        <v>3</v>
      </c>
      <c r="B70" s="96" t="s">
        <v>322</v>
      </c>
      <c r="C70" s="97">
        <f>IRR(C62:H62)</f>
        <v>0.15484684130606241</v>
      </c>
      <c r="K70" s="88"/>
      <c r="L70" s="88"/>
    </row>
    <row r="71" spans="1:12" x14ac:dyDescent="0.25">
      <c r="A71" s="2"/>
      <c r="B71" s="2"/>
      <c r="C71" s="2"/>
      <c r="K71" s="88"/>
      <c r="L71" s="88"/>
    </row>
    <row r="72" spans="1:12" x14ac:dyDescent="0.25">
      <c r="A72" s="2"/>
      <c r="B72" s="98" t="s">
        <v>94</v>
      </c>
      <c r="C72" s="99">
        <v>0.1</v>
      </c>
      <c r="K72" s="68"/>
      <c r="L72" s="68"/>
    </row>
    <row r="79" spans="1:12" ht="14.25" customHeight="1" x14ac:dyDescent="0.25"/>
    <row r="80" spans="1:12" ht="36.75" customHeight="1" x14ac:dyDescent="0.25"/>
    <row r="84" ht="15.75" customHeight="1" x14ac:dyDescent="0.25"/>
  </sheetData>
  <mergeCells count="22">
    <mergeCell ref="B19:D19"/>
    <mergeCell ref="A1:H1"/>
    <mergeCell ref="A8:D8"/>
    <mergeCell ref="F8:G8"/>
    <mergeCell ref="B10:D10"/>
    <mergeCell ref="B16:D16"/>
    <mergeCell ref="A22:B22"/>
    <mergeCell ref="A26:I26"/>
    <mergeCell ref="A27:A28"/>
    <mergeCell ref="B27:B28"/>
    <mergeCell ref="C27:C28"/>
    <mergeCell ref="D27:D28"/>
    <mergeCell ref="E28:I28"/>
    <mergeCell ref="B48:I48"/>
    <mergeCell ref="A55:H55"/>
    <mergeCell ref="B63:H63"/>
    <mergeCell ref="A66:C66"/>
    <mergeCell ref="J29:O29"/>
    <mergeCell ref="B33:D33"/>
    <mergeCell ref="A36:J36"/>
    <mergeCell ref="B38:I38"/>
    <mergeCell ref="B43:I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O91"/>
  <sheetViews>
    <sheetView topLeftCell="A23" workbookViewId="0">
      <selection activeCell="B42" sqref="B42:I42"/>
    </sheetView>
  </sheetViews>
  <sheetFormatPr baseColWidth="10" defaultColWidth="10.85546875" defaultRowHeight="15" x14ac:dyDescent="0.25"/>
  <cols>
    <col min="1" max="1" width="10.85546875" style="3"/>
    <col min="2" max="2" width="37.85546875" style="3" customWidth="1"/>
    <col min="3" max="3" width="18.85546875" style="3" customWidth="1"/>
    <col min="4" max="4" width="48.42578125" style="3" customWidth="1"/>
    <col min="5" max="5" width="18" style="3" customWidth="1"/>
    <col min="6" max="6" width="17.140625" style="3" customWidth="1"/>
    <col min="7" max="7" width="17" style="3" customWidth="1"/>
    <col min="8" max="8" width="23.28515625" style="3" customWidth="1"/>
    <col min="9" max="9" width="23" style="3" customWidth="1"/>
    <col min="10" max="10" width="32.7109375" style="3" customWidth="1"/>
    <col min="11" max="16384" width="10.85546875" style="3"/>
  </cols>
  <sheetData>
    <row r="1" spans="1:12" ht="21" x14ac:dyDescent="0.25">
      <c r="A1" s="175" t="s">
        <v>336</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t="s">
        <v>274</v>
      </c>
      <c r="B6" s="5"/>
      <c r="C6" s="130"/>
      <c r="D6" s="5"/>
      <c r="E6" s="1"/>
      <c r="H6" s="1"/>
      <c r="I6" s="1"/>
      <c r="J6" s="2"/>
      <c r="K6" s="2"/>
      <c r="L6" s="2"/>
    </row>
    <row r="7" spans="1:12" x14ac:dyDescent="0.25">
      <c r="A7" s="1" t="s">
        <v>337</v>
      </c>
      <c r="B7" s="5"/>
      <c r="C7" s="1"/>
      <c r="D7" s="1"/>
      <c r="E7" s="1"/>
      <c r="F7" s="11"/>
      <c r="G7" s="5"/>
      <c r="H7" s="1"/>
      <c r="I7" s="1"/>
      <c r="J7" s="2"/>
      <c r="K7" s="2"/>
      <c r="L7" s="2"/>
    </row>
    <row r="8" spans="1:12" ht="15.75" x14ac:dyDescent="0.25">
      <c r="A8" s="182" t="s">
        <v>6</v>
      </c>
      <c r="B8" s="183"/>
      <c r="C8" s="183"/>
      <c r="D8" s="184"/>
      <c r="E8" s="1"/>
      <c r="F8" s="176"/>
      <c r="G8" s="176"/>
      <c r="H8" s="2"/>
    </row>
    <row r="9" spans="1:12" s="18" customFormat="1" ht="47.25" customHeight="1" x14ac:dyDescent="0.25">
      <c r="A9" s="12" t="s">
        <v>325</v>
      </c>
      <c r="B9" s="13"/>
      <c r="C9" s="14" t="s">
        <v>8</v>
      </c>
      <c r="D9" s="15" t="s">
        <v>9</v>
      </c>
      <c r="E9" s="16"/>
      <c r="F9" s="125"/>
      <c r="G9" s="17" t="s">
        <v>10</v>
      </c>
      <c r="H9" s="16"/>
    </row>
    <row r="10" spans="1:12" x14ac:dyDescent="0.25">
      <c r="A10" s="19" t="s">
        <v>11</v>
      </c>
      <c r="B10" s="172" t="s">
        <v>12</v>
      </c>
      <c r="C10" s="173"/>
      <c r="D10" s="174"/>
      <c r="E10" s="2"/>
      <c r="F10" s="20"/>
      <c r="G10" s="21" t="s">
        <v>13</v>
      </c>
      <c r="H10" s="2"/>
    </row>
    <row r="11" spans="1:12" ht="41.25" customHeight="1" x14ac:dyDescent="0.25">
      <c r="A11" s="22">
        <v>1</v>
      </c>
      <c r="B11" s="23" t="s">
        <v>14</v>
      </c>
      <c r="C11" s="24">
        <f>134000000+8040000+6030000+13936000</f>
        <v>162006000</v>
      </c>
      <c r="D11" s="23" t="s">
        <v>338</v>
      </c>
      <c r="E11" s="2"/>
      <c r="F11" s="25">
        <v>0.1</v>
      </c>
      <c r="G11" s="26">
        <f>C11*(1-F11)^5</f>
        <v>95662922.940000027</v>
      </c>
      <c r="H11" s="2"/>
    </row>
    <row r="12" spans="1:12" ht="30.75" customHeight="1" x14ac:dyDescent="0.25">
      <c r="A12" s="27">
        <v>2</v>
      </c>
      <c r="B12" s="23" t="s">
        <v>15</v>
      </c>
      <c r="C12" s="24">
        <v>27725425</v>
      </c>
      <c r="D12" s="100" t="s">
        <v>275</v>
      </c>
      <c r="E12" s="2"/>
      <c r="F12" s="25">
        <v>0.05</v>
      </c>
      <c r="G12" s="26">
        <f>C12*(1-F12)^5</f>
        <v>21453405.349085938</v>
      </c>
      <c r="H12" s="2"/>
    </row>
    <row r="13" spans="1:12" ht="35.25" customHeight="1" x14ac:dyDescent="0.25">
      <c r="A13" s="27">
        <v>3</v>
      </c>
      <c r="B13" s="23" t="s">
        <v>13</v>
      </c>
      <c r="C13" s="24">
        <f>1666000+6000000+(2*2000000)+4000000</f>
        <v>15666000</v>
      </c>
      <c r="D13" s="23" t="s">
        <v>276</v>
      </c>
      <c r="E13" s="2"/>
      <c r="F13" s="25">
        <v>0.2</v>
      </c>
      <c r="G13" s="26">
        <f>C13*(1-F13)^5</f>
        <v>5133434.8800000027</v>
      </c>
      <c r="H13" s="2"/>
    </row>
    <row r="14" spans="1:12" ht="31.5" customHeight="1" x14ac:dyDescent="0.25">
      <c r="A14" s="27">
        <v>4</v>
      </c>
      <c r="B14" s="23" t="s">
        <v>277</v>
      </c>
      <c r="C14" s="131">
        <v>3500000</v>
      </c>
      <c r="D14" s="23" t="s">
        <v>339</v>
      </c>
      <c r="E14" s="2"/>
      <c r="F14" s="25">
        <v>0.2</v>
      </c>
      <c r="G14" s="26">
        <f>C14*(1-F14)^5</f>
        <v>1146880.0000000007</v>
      </c>
      <c r="H14" s="2"/>
    </row>
    <row r="15" spans="1:12" x14ac:dyDescent="0.25">
      <c r="A15" s="29"/>
      <c r="B15" s="30"/>
      <c r="C15" s="31">
        <f>SUM(C11:C14)</f>
        <v>208897425</v>
      </c>
      <c r="D15" s="32"/>
      <c r="E15" s="2"/>
      <c r="F15" s="33"/>
      <c r="G15" s="34" t="s">
        <v>18</v>
      </c>
      <c r="H15" s="2"/>
    </row>
    <row r="16" spans="1:12" x14ac:dyDescent="0.25">
      <c r="A16" s="19" t="s">
        <v>11</v>
      </c>
      <c r="B16" s="177" t="s">
        <v>326</v>
      </c>
      <c r="C16" s="177"/>
      <c r="D16" s="177"/>
      <c r="E16" s="2"/>
      <c r="F16" s="20"/>
      <c r="G16" s="35"/>
      <c r="H16" s="2"/>
    </row>
    <row r="17" spans="1:15" ht="25.5" x14ac:dyDescent="0.25">
      <c r="A17" s="22">
        <v>1</v>
      </c>
      <c r="B17" s="23" t="s">
        <v>257</v>
      </c>
      <c r="C17" s="24">
        <v>3000000</v>
      </c>
      <c r="D17" s="23" t="s">
        <v>340</v>
      </c>
      <c r="E17" s="2"/>
      <c r="F17" s="33"/>
      <c r="G17" s="34" t="s">
        <v>18</v>
      </c>
      <c r="H17" s="2"/>
    </row>
    <row r="18" spans="1:15" x14ac:dyDescent="0.25">
      <c r="A18" s="22">
        <v>2</v>
      </c>
      <c r="B18" s="36"/>
      <c r="C18" s="37">
        <f>SUM(C17)</f>
        <v>3000000</v>
      </c>
      <c r="D18" s="38"/>
      <c r="E18" s="39"/>
      <c r="F18" s="33"/>
      <c r="G18" s="34" t="s">
        <v>18</v>
      </c>
      <c r="H18" s="2"/>
    </row>
    <row r="19" spans="1:15" ht="15.75" customHeight="1" x14ac:dyDescent="0.25">
      <c r="A19" s="19" t="s">
        <v>11</v>
      </c>
      <c r="B19" s="172" t="s">
        <v>22</v>
      </c>
      <c r="C19" s="173"/>
      <c r="D19" s="174"/>
      <c r="E19" s="2"/>
      <c r="F19" s="20"/>
      <c r="G19" s="35"/>
      <c r="H19" s="2"/>
    </row>
    <row r="20" spans="1:15" ht="15.75" customHeight="1" x14ac:dyDescent="0.25">
      <c r="A20" s="22">
        <v>1</v>
      </c>
      <c r="B20" s="23" t="s">
        <v>23</v>
      </c>
      <c r="C20" s="131">
        <v>2500000</v>
      </c>
      <c r="D20" s="40" t="s">
        <v>278</v>
      </c>
      <c r="E20" s="2"/>
      <c r="F20" s="33"/>
      <c r="G20" s="34" t="s">
        <v>18</v>
      </c>
      <c r="H20" s="2"/>
    </row>
    <row r="21" spans="1:15" ht="15.75" customHeight="1" x14ac:dyDescent="0.25">
      <c r="A21" s="22">
        <v>2</v>
      </c>
      <c r="B21" s="23" t="s">
        <v>279</v>
      </c>
      <c r="C21" s="131">
        <f>(500000)*2</f>
        <v>1000000</v>
      </c>
      <c r="D21" s="40" t="s">
        <v>341</v>
      </c>
      <c r="E21" s="2"/>
      <c r="F21" s="33"/>
      <c r="G21" s="34"/>
      <c r="H21" s="2"/>
    </row>
    <row r="22" spans="1:15" ht="15.75" customHeight="1" x14ac:dyDescent="0.25">
      <c r="A22" s="22">
        <v>3</v>
      </c>
      <c r="B22" s="23" t="s">
        <v>280</v>
      </c>
      <c r="C22" s="131">
        <v>2800000</v>
      </c>
      <c r="D22" s="40" t="s">
        <v>281</v>
      </c>
      <c r="E22" s="2"/>
      <c r="F22" s="33"/>
      <c r="G22" s="34"/>
      <c r="H22" s="2"/>
    </row>
    <row r="23" spans="1:15" ht="17.25" customHeight="1" x14ac:dyDescent="0.25">
      <c r="A23" s="22">
        <v>4</v>
      </c>
      <c r="B23" s="23" t="s">
        <v>282</v>
      </c>
      <c r="C23" s="131">
        <v>6000000</v>
      </c>
      <c r="D23" s="40" t="s">
        <v>18</v>
      </c>
      <c r="E23" s="2"/>
      <c r="F23" s="33"/>
      <c r="G23" s="34" t="s">
        <v>18</v>
      </c>
      <c r="H23" s="2"/>
    </row>
    <row r="24" spans="1:15" x14ac:dyDescent="0.25">
      <c r="A24" s="165"/>
      <c r="B24" s="166"/>
      <c r="C24" s="41">
        <f>SUM(C20:C23)</f>
        <v>12300000</v>
      </c>
      <c r="E24" s="42"/>
      <c r="F24" s="33"/>
      <c r="G24" s="43">
        <f>SUM(G11:G23)</f>
        <v>123396643.16908598</v>
      </c>
      <c r="I24" s="2"/>
    </row>
    <row r="25" spans="1:15" x14ac:dyDescent="0.25">
      <c r="A25" s="44"/>
      <c r="B25" s="45" t="s">
        <v>26</v>
      </c>
      <c r="C25" s="46">
        <f>SUM(C15+C18+C24)</f>
        <v>224197425</v>
      </c>
      <c r="G25" s="2"/>
      <c r="H25" s="2"/>
      <c r="I25" s="2"/>
      <c r="J25" s="2"/>
      <c r="K25" s="2"/>
    </row>
    <row r="26" spans="1:15" x14ac:dyDescent="0.25">
      <c r="A26" s="47"/>
      <c r="B26" s="48"/>
      <c r="C26" s="42"/>
      <c r="D26" s="49"/>
      <c r="E26" s="50"/>
      <c r="F26" s="50"/>
      <c r="G26" s="51"/>
      <c r="H26" s="52"/>
      <c r="I26" s="2"/>
      <c r="J26" s="2"/>
      <c r="K26" s="2"/>
      <c r="L26" s="2"/>
    </row>
    <row r="27" spans="1:15" x14ac:dyDescent="0.25">
      <c r="A27" s="1"/>
      <c r="B27" s="48"/>
      <c r="C27" s="1"/>
      <c r="D27" s="1"/>
      <c r="E27" s="1"/>
      <c r="F27" s="1"/>
      <c r="G27" s="1"/>
      <c r="H27" s="2"/>
      <c r="I27" s="1"/>
      <c r="J27" s="2"/>
      <c r="K27" s="2"/>
      <c r="L27" s="2"/>
    </row>
    <row r="28" spans="1:15" ht="15.75" x14ac:dyDescent="0.25">
      <c r="A28" s="182" t="s">
        <v>27</v>
      </c>
      <c r="B28" s="183"/>
      <c r="C28" s="183"/>
      <c r="D28" s="183"/>
      <c r="E28" s="183"/>
      <c r="F28" s="183"/>
      <c r="G28" s="183"/>
      <c r="H28" s="183"/>
      <c r="I28" s="184"/>
      <c r="J28" s="54"/>
      <c r="K28" s="54"/>
      <c r="L28" s="54"/>
      <c r="M28" s="54"/>
      <c r="N28" s="54"/>
    </row>
    <row r="29" spans="1:15" x14ac:dyDescent="0.25">
      <c r="A29" s="167" t="s">
        <v>11</v>
      </c>
      <c r="B29" s="167" t="s">
        <v>28</v>
      </c>
      <c r="C29" s="167" t="s">
        <v>283</v>
      </c>
      <c r="D29" s="167" t="s">
        <v>284</v>
      </c>
      <c r="E29" s="55" t="s">
        <v>31</v>
      </c>
      <c r="F29" s="56" t="s">
        <v>32</v>
      </c>
      <c r="G29" s="56" t="s">
        <v>33</v>
      </c>
      <c r="H29" s="56" t="s">
        <v>34</v>
      </c>
      <c r="I29" s="56" t="s">
        <v>35</v>
      </c>
      <c r="J29" s="11"/>
      <c r="M29" s="2"/>
      <c r="N29" s="2"/>
    </row>
    <row r="30" spans="1:15" x14ac:dyDescent="0.25">
      <c r="A30" s="168"/>
      <c r="B30" s="168"/>
      <c r="C30" s="168"/>
      <c r="D30" s="168"/>
      <c r="E30" s="169" t="s">
        <v>39</v>
      </c>
      <c r="F30" s="170"/>
      <c r="G30" s="170"/>
      <c r="H30" s="170"/>
      <c r="I30" s="171"/>
      <c r="J30" s="58"/>
      <c r="K30" s="2"/>
      <c r="L30" s="2"/>
    </row>
    <row r="31" spans="1:15" ht="18.75" customHeight="1" x14ac:dyDescent="0.25">
      <c r="A31" s="59">
        <v>1</v>
      </c>
      <c r="B31" s="60" t="s">
        <v>285</v>
      </c>
      <c r="C31" s="10">
        <v>600</v>
      </c>
      <c r="D31" s="126">
        <f>D43*1.3</f>
        <v>222227.20000000001</v>
      </c>
      <c r="E31" s="62">
        <f>C31*D31</f>
        <v>133336320</v>
      </c>
      <c r="F31" s="63">
        <f>($D31*(1+$G$3))*$C31</f>
        <v>138003091.19999999</v>
      </c>
      <c r="G31" s="63">
        <f t="shared" ref="G31:I36" si="0">(F31*(1+$G$3))</f>
        <v>142833199.39199999</v>
      </c>
      <c r="H31" s="63">
        <f t="shared" si="0"/>
        <v>147832361.37071997</v>
      </c>
      <c r="I31" s="63">
        <f t="shared" si="0"/>
        <v>153006494.01869515</v>
      </c>
      <c r="J31" s="154" t="s">
        <v>333</v>
      </c>
      <c r="K31" s="155"/>
      <c r="L31" s="155"/>
      <c r="M31" s="155"/>
      <c r="N31" s="155"/>
      <c r="O31" s="155"/>
    </row>
    <row r="32" spans="1:15" ht="18.75" customHeight="1" x14ac:dyDescent="0.25">
      <c r="A32" s="59">
        <v>2</v>
      </c>
      <c r="B32" s="60" t="s">
        <v>286</v>
      </c>
      <c r="C32" s="10">
        <v>90</v>
      </c>
      <c r="D32" s="126">
        <f t="shared" ref="D32:D36" si="1">D44*1.3</f>
        <v>2262000</v>
      </c>
      <c r="E32" s="62">
        <f t="shared" ref="E32:E36" si="2">C32*D32</f>
        <v>203580000</v>
      </c>
      <c r="F32" s="63">
        <f>($D32*(1+$G$3))*$C32</f>
        <v>210705300</v>
      </c>
      <c r="G32" s="63">
        <f t="shared" si="0"/>
        <v>218079985.49999997</v>
      </c>
      <c r="H32" s="63">
        <f t="shared" si="0"/>
        <v>225712784.99249995</v>
      </c>
      <c r="I32" s="63">
        <f t="shared" si="0"/>
        <v>233612732.46723741</v>
      </c>
      <c r="J32" s="123"/>
      <c r="K32" s="124"/>
      <c r="L32" s="124"/>
      <c r="M32" s="124"/>
      <c r="N32" s="124"/>
      <c r="O32" s="124"/>
    </row>
    <row r="33" spans="1:14" x14ac:dyDescent="0.25">
      <c r="A33" s="59">
        <v>3</v>
      </c>
      <c r="B33" s="60" t="s">
        <v>287</v>
      </c>
      <c r="C33" s="10">
        <v>48</v>
      </c>
      <c r="D33" s="126">
        <f t="shared" si="1"/>
        <v>1324375</v>
      </c>
      <c r="E33" s="62">
        <f t="shared" si="2"/>
        <v>63570000</v>
      </c>
      <c r="F33" s="63">
        <f>($D33*(1+$G$3))*$C33</f>
        <v>65794950</v>
      </c>
      <c r="G33" s="63">
        <f>(F33*(1+$G$3))</f>
        <v>68097773.25</v>
      </c>
      <c r="H33" s="63">
        <f>(G33*(1+$G$3))</f>
        <v>70481195.313749999</v>
      </c>
      <c r="I33" s="63">
        <f t="shared" si="0"/>
        <v>72948037.149731249</v>
      </c>
      <c r="J33" s="123"/>
      <c r="K33" s="1"/>
      <c r="L33" s="2"/>
      <c r="M33" s="2"/>
      <c r="N33" s="2"/>
    </row>
    <row r="34" spans="1:14" x14ac:dyDescent="0.25">
      <c r="A34" s="59">
        <v>4</v>
      </c>
      <c r="B34" s="60" t="s">
        <v>288</v>
      </c>
      <c r="C34" s="10">
        <v>360</v>
      </c>
      <c r="D34" s="126">
        <f t="shared" si="1"/>
        <v>408054.4</v>
      </c>
      <c r="E34" s="62">
        <f t="shared" si="2"/>
        <v>146899584</v>
      </c>
      <c r="F34" s="63">
        <f t="shared" ref="F34:F35" si="3">($D34*(1+$G$3))*$C34</f>
        <v>152041069.44</v>
      </c>
      <c r="G34" s="63">
        <f t="shared" ref="G34:H35" si="4">(F34*(1+$G$3))</f>
        <v>157362506.87039998</v>
      </c>
      <c r="H34" s="63">
        <f t="shared" si="4"/>
        <v>162870194.61086395</v>
      </c>
      <c r="I34" s="63">
        <f t="shared" si="0"/>
        <v>168570651.42224419</v>
      </c>
      <c r="J34" s="124"/>
      <c r="K34" s="1"/>
      <c r="L34" s="2"/>
      <c r="M34" s="2"/>
      <c r="N34" s="2"/>
    </row>
    <row r="35" spans="1:14" x14ac:dyDescent="0.25">
      <c r="A35" s="59">
        <v>5</v>
      </c>
      <c r="B35" s="60" t="s">
        <v>289</v>
      </c>
      <c r="C35" s="10">
        <v>288</v>
      </c>
      <c r="D35" s="126">
        <f t="shared" si="1"/>
        <v>444744.3</v>
      </c>
      <c r="E35" s="62">
        <f t="shared" si="2"/>
        <v>128086358.39999999</v>
      </c>
      <c r="F35" s="63">
        <f t="shared" si="3"/>
        <v>132569380.94399998</v>
      </c>
      <c r="G35" s="63">
        <f t="shared" si="4"/>
        <v>137209309.27703997</v>
      </c>
      <c r="H35" s="63">
        <f t="shared" si="4"/>
        <v>142011635.10173637</v>
      </c>
      <c r="I35" s="63">
        <f t="shared" si="0"/>
        <v>146982042.33029714</v>
      </c>
      <c r="J35" s="124"/>
      <c r="K35" s="1"/>
      <c r="L35" s="2"/>
      <c r="M35" s="2"/>
      <c r="N35" s="2"/>
    </row>
    <row r="36" spans="1:14" ht="15" customHeight="1" x14ac:dyDescent="0.25">
      <c r="A36" s="107">
        <v>6</v>
      </c>
      <c r="B36" s="60" t="s">
        <v>290</v>
      </c>
      <c r="C36" s="10">
        <v>120</v>
      </c>
      <c r="D36" s="126">
        <f t="shared" si="1"/>
        <v>952032.9</v>
      </c>
      <c r="E36" s="62">
        <f t="shared" si="2"/>
        <v>114243948</v>
      </c>
      <c r="F36" s="63">
        <f>($D36*(1+$G$3))*$C36</f>
        <v>118242486.17999999</v>
      </c>
      <c r="G36" s="63">
        <f t="shared" si="0"/>
        <v>122380973.19629999</v>
      </c>
      <c r="H36" s="63">
        <f t="shared" si="0"/>
        <v>126664307.25817047</v>
      </c>
      <c r="I36" s="63">
        <f t="shared" si="0"/>
        <v>131097558.01220642</v>
      </c>
      <c r="K36" s="66"/>
      <c r="L36" s="66"/>
      <c r="M36" s="2"/>
      <c r="N36" s="2"/>
    </row>
    <row r="37" spans="1:14" ht="15" customHeight="1" x14ac:dyDescent="0.25">
      <c r="A37" s="5"/>
      <c r="B37" s="156" t="s">
        <v>43</v>
      </c>
      <c r="C37" s="157"/>
      <c r="D37" s="158"/>
      <c r="E37" s="46">
        <f>SUM(E31:E36)</f>
        <v>789716210.39999998</v>
      </c>
      <c r="F37" s="46">
        <f>SUM(F31:F36)</f>
        <v>817356277.76399994</v>
      </c>
      <c r="G37" s="46">
        <f t="shared" ref="G37:H37" si="5">SUM(G31:G36)</f>
        <v>845963747.48573995</v>
      </c>
      <c r="H37" s="46">
        <f t="shared" si="5"/>
        <v>875572478.64774072</v>
      </c>
      <c r="I37" s="46">
        <f>SUM(I31:I36)</f>
        <v>906217515.40041161</v>
      </c>
      <c r="J37" s="66"/>
      <c r="K37" s="2"/>
      <c r="L37" s="2"/>
    </row>
    <row r="38" spans="1:14" x14ac:dyDescent="0.25">
      <c r="A38" s="2"/>
      <c r="B38" s="48"/>
      <c r="C38" s="67"/>
      <c r="D38" s="68"/>
      <c r="E38" s="68"/>
      <c r="F38" s="68"/>
      <c r="G38" s="68"/>
      <c r="H38" s="68"/>
      <c r="I38" s="1"/>
      <c r="J38" s="11"/>
      <c r="K38" s="66"/>
      <c r="L38" s="66"/>
      <c r="M38" s="2"/>
      <c r="N38" s="2"/>
    </row>
    <row r="39" spans="1:14" x14ac:dyDescent="0.25">
      <c r="A39" s="2"/>
      <c r="B39" s="69"/>
      <c r="C39" s="67"/>
      <c r="D39" s="68"/>
      <c r="E39" s="68"/>
      <c r="F39" s="68"/>
      <c r="G39" s="68"/>
      <c r="H39" s="68"/>
      <c r="I39" s="1"/>
      <c r="J39" s="11"/>
      <c r="M39" s="2"/>
      <c r="N39" s="2"/>
    </row>
    <row r="40" spans="1:14" ht="15.75" x14ac:dyDescent="0.25">
      <c r="A40" s="185" t="s">
        <v>44</v>
      </c>
      <c r="B40" s="186"/>
      <c r="C40" s="186"/>
      <c r="D40" s="186"/>
      <c r="E40" s="186"/>
      <c r="F40" s="186"/>
      <c r="G40" s="186"/>
      <c r="H40" s="186"/>
      <c r="I40" s="186"/>
      <c r="J40" s="187"/>
      <c r="K40" s="54"/>
      <c r="L40" s="54"/>
      <c r="M40" s="54"/>
      <c r="N40" s="44"/>
    </row>
    <row r="41" spans="1:14" ht="15" customHeight="1" x14ac:dyDescent="0.25">
      <c r="A41" s="56" t="s">
        <v>11</v>
      </c>
      <c r="B41" s="70" t="s">
        <v>325</v>
      </c>
      <c r="C41" s="71" t="s">
        <v>29</v>
      </c>
      <c r="D41" s="71" t="s">
        <v>342</v>
      </c>
      <c r="E41" s="55" t="s">
        <v>31</v>
      </c>
      <c r="F41" s="56" t="s">
        <v>32</v>
      </c>
      <c r="G41" s="56" t="s">
        <v>33</v>
      </c>
      <c r="H41" s="56" t="s">
        <v>34</v>
      </c>
      <c r="I41" s="56" t="s">
        <v>35</v>
      </c>
      <c r="J41" s="14" t="s">
        <v>9</v>
      </c>
    </row>
    <row r="42" spans="1:14" ht="15" customHeight="1" x14ac:dyDescent="0.25">
      <c r="A42" s="101"/>
      <c r="B42" s="163" t="s">
        <v>47</v>
      </c>
      <c r="C42" s="163"/>
      <c r="D42" s="163"/>
      <c r="E42" s="163"/>
      <c r="F42" s="163"/>
      <c r="G42" s="163"/>
      <c r="H42" s="163"/>
      <c r="I42" s="164"/>
      <c r="J42" s="73"/>
    </row>
    <row r="43" spans="1:14" x14ac:dyDescent="0.25">
      <c r="A43" s="59" t="s">
        <v>48</v>
      </c>
      <c r="B43" s="60" t="s">
        <v>291</v>
      </c>
      <c r="C43" s="9">
        <v>600</v>
      </c>
      <c r="D43" s="127">
        <v>170944</v>
      </c>
      <c r="E43" s="75">
        <f t="shared" ref="E43:E57" si="6">C43*D43</f>
        <v>102566400</v>
      </c>
      <c r="F43" s="75">
        <f>E43*(1+$G$3)</f>
        <v>106156223.99999999</v>
      </c>
      <c r="G43" s="75">
        <f>F43*(1+$G$3)</f>
        <v>109871691.83999997</v>
      </c>
      <c r="H43" s="75">
        <f>G43*(1+$G$3)</f>
        <v>113717201.05439997</v>
      </c>
      <c r="I43" s="75">
        <f>H43*(1+$G$3)</f>
        <v>117697303.09130396</v>
      </c>
      <c r="J43" s="10"/>
      <c r="K43" s="2"/>
      <c r="L43" s="2"/>
      <c r="M43" s="2"/>
    </row>
    <row r="44" spans="1:14" x14ac:dyDescent="0.25">
      <c r="A44" s="59" t="s">
        <v>51</v>
      </c>
      <c r="B44" s="60" t="s">
        <v>292</v>
      </c>
      <c r="C44" s="9">
        <v>90</v>
      </c>
      <c r="D44" s="127">
        <v>1740000</v>
      </c>
      <c r="E44" s="75">
        <f t="shared" si="6"/>
        <v>156600000</v>
      </c>
      <c r="F44" s="75">
        <f>E44*(1+$G$3)</f>
        <v>162081000</v>
      </c>
      <c r="G44" s="75">
        <f>F44*(1+$G$3)</f>
        <v>167753835</v>
      </c>
      <c r="H44" s="75">
        <f>G44*(1+$G$3)</f>
        <v>173625219.22499999</v>
      </c>
      <c r="I44" s="75">
        <f t="shared" ref="I44:I48" si="7">H44*(1+$G$3)</f>
        <v>179702101.89787498</v>
      </c>
      <c r="J44" s="10"/>
      <c r="K44" s="2"/>
      <c r="L44" s="2"/>
      <c r="M44" s="2"/>
    </row>
    <row r="45" spans="1:14" x14ac:dyDescent="0.25">
      <c r="A45" s="59" t="s">
        <v>54</v>
      </c>
      <c r="B45" s="60" t="s">
        <v>293</v>
      </c>
      <c r="C45" s="9">
        <v>48</v>
      </c>
      <c r="D45" s="127">
        <v>1018750</v>
      </c>
      <c r="E45" s="75">
        <f t="shared" si="6"/>
        <v>48900000</v>
      </c>
      <c r="F45" s="75">
        <f>D45*C45</f>
        <v>48900000</v>
      </c>
      <c r="G45" s="75">
        <f>F45*(1+$G$3)</f>
        <v>50611499.999999993</v>
      </c>
      <c r="H45" s="75">
        <f>G45*(1+$G$3)</f>
        <v>52382902.499999985</v>
      </c>
      <c r="I45" s="75">
        <f t="shared" si="7"/>
        <v>54216304.087499984</v>
      </c>
      <c r="J45" s="10"/>
      <c r="K45" s="2"/>
    </row>
    <row r="46" spans="1:14" x14ac:dyDescent="0.25">
      <c r="A46" s="59" t="s">
        <v>57</v>
      </c>
      <c r="B46" s="60" t="s">
        <v>294</v>
      </c>
      <c r="C46" s="9">
        <v>360</v>
      </c>
      <c r="D46" s="127">
        <v>313888</v>
      </c>
      <c r="E46" s="75">
        <f t="shared" si="6"/>
        <v>112999680</v>
      </c>
      <c r="F46" s="75">
        <f t="shared" ref="F46:F49" si="8">D46*C46</f>
        <v>112999680</v>
      </c>
      <c r="G46" s="75">
        <f t="shared" ref="G46:H49" si="9">F46*(1+$G$3)</f>
        <v>116954668.8</v>
      </c>
      <c r="H46" s="75">
        <f t="shared" si="9"/>
        <v>121048082.20799999</v>
      </c>
      <c r="I46" s="75">
        <f t="shared" si="7"/>
        <v>125284765.08527999</v>
      </c>
      <c r="J46" s="10"/>
      <c r="K46" s="2"/>
    </row>
    <row r="47" spans="1:14" x14ac:dyDescent="0.25">
      <c r="A47" s="59" t="s">
        <v>66</v>
      </c>
      <c r="B47" s="60" t="s">
        <v>295</v>
      </c>
      <c r="C47" s="9">
        <v>288</v>
      </c>
      <c r="D47" s="127">
        <v>342111</v>
      </c>
      <c r="E47" s="75">
        <f t="shared" si="6"/>
        <v>98527968</v>
      </c>
      <c r="F47" s="75">
        <f t="shared" si="8"/>
        <v>98527968</v>
      </c>
      <c r="G47" s="75">
        <f t="shared" si="9"/>
        <v>101976446.88</v>
      </c>
      <c r="H47" s="75">
        <f t="shared" si="9"/>
        <v>105545622.52079998</v>
      </c>
      <c r="I47" s="75">
        <f t="shared" si="7"/>
        <v>109239719.30902797</v>
      </c>
      <c r="J47" s="10"/>
      <c r="K47" s="2"/>
    </row>
    <row r="48" spans="1:14" x14ac:dyDescent="0.25">
      <c r="A48" s="59" t="s">
        <v>69</v>
      </c>
      <c r="B48" s="60" t="s">
        <v>296</v>
      </c>
      <c r="C48" s="9">
        <v>120</v>
      </c>
      <c r="D48" s="127">
        <v>732333</v>
      </c>
      <c r="E48" s="75">
        <f t="shared" si="6"/>
        <v>87879960</v>
      </c>
      <c r="F48" s="75">
        <f t="shared" si="8"/>
        <v>87879960</v>
      </c>
      <c r="G48" s="75">
        <f t="shared" si="9"/>
        <v>90955758.599999994</v>
      </c>
      <c r="H48" s="75">
        <f t="shared" si="9"/>
        <v>94139210.150999993</v>
      </c>
      <c r="I48" s="75">
        <f t="shared" si="7"/>
        <v>97434082.506284982</v>
      </c>
      <c r="J48" s="10"/>
      <c r="K48" s="2"/>
    </row>
    <row r="49" spans="1:12" x14ac:dyDescent="0.25">
      <c r="A49" s="59" t="s">
        <v>57</v>
      </c>
      <c r="B49" s="60" t="s">
        <v>136</v>
      </c>
      <c r="C49" s="9">
        <v>1</v>
      </c>
      <c r="D49" s="127">
        <v>3000000</v>
      </c>
      <c r="E49" s="75">
        <f t="shared" si="6"/>
        <v>3000000</v>
      </c>
      <c r="F49" s="75">
        <f t="shared" si="8"/>
        <v>3000000</v>
      </c>
      <c r="G49" s="75">
        <f t="shared" si="9"/>
        <v>3104999.9999999995</v>
      </c>
      <c r="H49" s="75">
        <f t="shared" si="9"/>
        <v>3213674.9999999991</v>
      </c>
      <c r="I49" s="75">
        <f t="shared" ref="I49" si="10">H49</f>
        <v>3213674.9999999991</v>
      </c>
      <c r="J49" s="10"/>
      <c r="K49" s="2"/>
    </row>
    <row r="50" spans="1:12" x14ac:dyDescent="0.25">
      <c r="A50" s="56">
        <v>2</v>
      </c>
      <c r="B50" s="140" t="s">
        <v>60</v>
      </c>
      <c r="C50" s="141"/>
      <c r="D50" s="141"/>
      <c r="E50" s="141"/>
      <c r="F50" s="141"/>
      <c r="G50" s="141"/>
      <c r="H50" s="141"/>
      <c r="I50" s="142"/>
      <c r="J50" s="77"/>
      <c r="K50" s="2"/>
    </row>
    <row r="51" spans="1:12" ht="25.5" x14ac:dyDescent="0.25">
      <c r="A51" s="59" t="s">
        <v>48</v>
      </c>
      <c r="B51" s="78" t="s">
        <v>297</v>
      </c>
      <c r="C51" s="9">
        <f>2*12</f>
        <v>24</v>
      </c>
      <c r="D51" s="127">
        <v>800000</v>
      </c>
      <c r="E51" s="75">
        <f t="shared" ref="E51:E54" si="11">C51*D51</f>
        <v>19200000</v>
      </c>
      <c r="F51" s="75">
        <f>E51*(1+$G$3)</f>
        <v>19872000</v>
      </c>
      <c r="G51" s="75">
        <f>F51*(1+$G$3)</f>
        <v>20567520</v>
      </c>
      <c r="H51" s="75">
        <f>G51*(1+$G$3)</f>
        <v>21287383.199999999</v>
      </c>
      <c r="I51" s="75">
        <f>H51*(1+$G$3)</f>
        <v>22032441.611999996</v>
      </c>
      <c r="J51" s="76" t="s">
        <v>324</v>
      </c>
      <c r="K51" s="2"/>
    </row>
    <row r="52" spans="1:12" ht="25.5" x14ac:dyDescent="0.25">
      <c r="A52" s="59"/>
      <c r="B52" s="78" t="s">
        <v>298</v>
      </c>
      <c r="C52" s="9">
        <f>12*5</f>
        <v>60</v>
      </c>
      <c r="D52" s="127">
        <v>250000</v>
      </c>
      <c r="E52" s="75">
        <f t="shared" si="11"/>
        <v>15000000</v>
      </c>
      <c r="F52" s="75">
        <f t="shared" ref="F52:I54" si="12">E52*(1+$G$3)</f>
        <v>15524999.999999998</v>
      </c>
      <c r="G52" s="75">
        <f>F52*(1+$G$3)</f>
        <v>16068374.999999996</v>
      </c>
      <c r="H52" s="75">
        <f>G52*(1+$G$3)</f>
        <v>16630768.124999994</v>
      </c>
      <c r="I52" s="75">
        <f>H52*(1+$G$3)</f>
        <v>17212845.009374991</v>
      </c>
      <c r="J52" s="76" t="s">
        <v>299</v>
      </c>
      <c r="K52" s="2"/>
    </row>
    <row r="53" spans="1:12" ht="22.5" customHeight="1" x14ac:dyDescent="0.25">
      <c r="A53" s="56" t="s">
        <v>51</v>
      </c>
      <c r="B53" s="74" t="s">
        <v>62</v>
      </c>
      <c r="C53" s="9">
        <v>12</v>
      </c>
      <c r="D53" s="127">
        <f>1469571/12</f>
        <v>122464.25</v>
      </c>
      <c r="E53" s="75">
        <f t="shared" si="11"/>
        <v>1469571</v>
      </c>
      <c r="F53" s="75">
        <f t="shared" si="12"/>
        <v>1521005.9849999999</v>
      </c>
      <c r="G53" s="75">
        <f t="shared" si="12"/>
        <v>1574241.1944749998</v>
      </c>
      <c r="H53" s="75">
        <f t="shared" si="12"/>
        <v>1629339.6362816247</v>
      </c>
      <c r="I53" s="75">
        <f t="shared" si="12"/>
        <v>1686366.5235514813</v>
      </c>
      <c r="J53" s="76"/>
      <c r="K53" s="2"/>
    </row>
    <row r="54" spans="1:12" ht="15.75" customHeight="1" x14ac:dyDescent="0.25">
      <c r="A54" s="56" t="s">
        <v>54</v>
      </c>
      <c r="B54" s="74" t="s">
        <v>154</v>
      </c>
      <c r="C54" s="9">
        <v>12</v>
      </c>
      <c r="D54" s="127">
        <f>2680000/12</f>
        <v>223333.33333333334</v>
      </c>
      <c r="E54" s="75">
        <f t="shared" si="11"/>
        <v>2680000</v>
      </c>
      <c r="F54" s="75">
        <f>D54*C54</f>
        <v>2680000</v>
      </c>
      <c r="G54" s="75">
        <f t="shared" si="12"/>
        <v>2773800</v>
      </c>
      <c r="H54" s="75">
        <f t="shared" si="12"/>
        <v>2870883</v>
      </c>
      <c r="I54" s="75">
        <f t="shared" si="12"/>
        <v>2971363.9049999998</v>
      </c>
      <c r="J54" s="76"/>
      <c r="K54" s="2"/>
    </row>
    <row r="55" spans="1:12" x14ac:dyDescent="0.25">
      <c r="A55" s="56">
        <v>3</v>
      </c>
      <c r="B55" s="162" t="s">
        <v>75</v>
      </c>
      <c r="C55" s="163"/>
      <c r="D55" s="163"/>
      <c r="E55" s="163"/>
      <c r="F55" s="163"/>
      <c r="G55" s="163"/>
      <c r="H55" s="163"/>
      <c r="I55" s="164"/>
      <c r="J55" s="77"/>
      <c r="K55" s="2"/>
    </row>
    <row r="56" spans="1:12" ht="31.5" customHeight="1" x14ac:dyDescent="0.25">
      <c r="A56" s="59" t="s">
        <v>48</v>
      </c>
      <c r="B56" s="60" t="s">
        <v>300</v>
      </c>
      <c r="C56" s="9">
        <v>1</v>
      </c>
      <c r="D56" s="127">
        <v>84336000</v>
      </c>
      <c r="E56" s="75">
        <f t="shared" si="6"/>
        <v>84336000</v>
      </c>
      <c r="F56" s="75">
        <f t="shared" ref="F56:I57" si="13">E56*(1+$G$3)</f>
        <v>87287760</v>
      </c>
      <c r="G56" s="75">
        <f t="shared" si="13"/>
        <v>90342831.599999994</v>
      </c>
      <c r="H56" s="75">
        <f t="shared" si="13"/>
        <v>93504830.705999985</v>
      </c>
      <c r="I56" s="75">
        <f t="shared" si="13"/>
        <v>96777499.780709982</v>
      </c>
      <c r="J56" s="10"/>
      <c r="K56" s="2"/>
    </row>
    <row r="57" spans="1:12" ht="31.5" customHeight="1" x14ac:dyDescent="0.25">
      <c r="A57" s="59" t="s">
        <v>51</v>
      </c>
      <c r="B57" s="60" t="s">
        <v>301</v>
      </c>
      <c r="C57" s="9">
        <v>1</v>
      </c>
      <c r="D57" s="127">
        <v>4000000</v>
      </c>
      <c r="E57" s="75">
        <f t="shared" si="6"/>
        <v>4000000</v>
      </c>
      <c r="F57" s="75">
        <f t="shared" si="13"/>
        <v>4139999.9999999995</v>
      </c>
      <c r="G57" s="75">
        <f t="shared" si="13"/>
        <v>4284899.9999999991</v>
      </c>
      <c r="H57" s="75">
        <f t="shared" si="13"/>
        <v>4434871.4999999991</v>
      </c>
      <c r="I57" s="75">
        <f t="shared" si="13"/>
        <v>4590092.0024999985</v>
      </c>
      <c r="J57" s="10"/>
      <c r="K57" s="2"/>
    </row>
    <row r="58" spans="1:12" x14ac:dyDescent="0.25">
      <c r="A58" s="56"/>
      <c r="B58" s="70" t="s">
        <v>79</v>
      </c>
      <c r="C58" s="70"/>
      <c r="D58" s="70"/>
      <c r="E58" s="46">
        <f>SUM(E43:E57)</f>
        <v>737159579</v>
      </c>
      <c r="F58" s="46">
        <f>SUM(F43:F57)</f>
        <v>750570597.98500001</v>
      </c>
      <c r="G58" s="46">
        <f t="shared" ref="G58:I58" si="14">SUM(G43:G57)</f>
        <v>776840568.91447508</v>
      </c>
      <c r="H58" s="46">
        <f t="shared" si="14"/>
        <v>804029988.82648158</v>
      </c>
      <c r="I58" s="46">
        <f t="shared" si="14"/>
        <v>832058559.81040823</v>
      </c>
      <c r="J58" s="80"/>
      <c r="K58" s="2"/>
    </row>
    <row r="59" spans="1:12" x14ac:dyDescent="0.25">
      <c r="A59" s="2"/>
      <c r="B59" s="48"/>
      <c r="C59" s="1"/>
      <c r="D59" s="1"/>
      <c r="E59" s="11"/>
      <c r="F59" s="1"/>
      <c r="G59" s="1"/>
      <c r="H59" s="1"/>
      <c r="I59" s="1"/>
      <c r="J59" s="1"/>
      <c r="K59" s="2"/>
      <c r="L59" s="2"/>
    </row>
    <row r="60" spans="1:12" x14ac:dyDescent="0.25">
      <c r="A60" s="2"/>
      <c r="B60" s="2"/>
      <c r="C60" s="81"/>
      <c r="D60" s="2"/>
      <c r="E60" s="2"/>
      <c r="F60" s="2"/>
      <c r="G60" s="2"/>
      <c r="H60" s="2"/>
      <c r="I60" s="2"/>
      <c r="J60" s="2"/>
      <c r="K60" s="2"/>
      <c r="L60" s="2"/>
    </row>
    <row r="61" spans="1:12" x14ac:dyDescent="0.25">
      <c r="A61" s="2"/>
      <c r="B61" s="2"/>
      <c r="C61" s="81"/>
      <c r="D61" s="2"/>
      <c r="E61" s="2"/>
      <c r="F61" s="2"/>
      <c r="G61" s="2"/>
      <c r="H61" s="2"/>
      <c r="I61" s="2"/>
      <c r="J61" s="2"/>
      <c r="K61" s="2"/>
      <c r="L61" s="2"/>
    </row>
    <row r="62" spans="1:12" ht="15.75" x14ac:dyDescent="0.25">
      <c r="A62" s="178" t="s">
        <v>80</v>
      </c>
      <c r="B62" s="179"/>
      <c r="C62" s="179"/>
      <c r="D62" s="179"/>
      <c r="E62" s="179"/>
      <c r="F62" s="179"/>
      <c r="G62" s="179"/>
      <c r="H62" s="180"/>
      <c r="I62" s="2"/>
      <c r="J62" s="2"/>
      <c r="K62" s="2"/>
      <c r="L62" s="2"/>
    </row>
    <row r="63" spans="1:12" x14ac:dyDescent="0.25">
      <c r="A63" s="56" t="s">
        <v>11</v>
      </c>
      <c r="B63" s="82" t="s">
        <v>81</v>
      </c>
      <c r="C63" s="83" t="s">
        <v>82</v>
      </c>
      <c r="D63" s="84" t="s">
        <v>31</v>
      </c>
      <c r="E63" s="84" t="s">
        <v>32</v>
      </c>
      <c r="F63" s="84" t="s">
        <v>33</v>
      </c>
      <c r="G63" s="84" t="s">
        <v>34</v>
      </c>
      <c r="H63" s="84" t="s">
        <v>35</v>
      </c>
      <c r="I63" s="85"/>
      <c r="J63" s="85"/>
      <c r="K63" s="2"/>
      <c r="L63" s="2"/>
    </row>
    <row r="64" spans="1:12" x14ac:dyDescent="0.25">
      <c r="A64" s="59">
        <v>1</v>
      </c>
      <c r="B64" s="86" t="s">
        <v>83</v>
      </c>
      <c r="C64" s="87"/>
      <c r="D64" s="87">
        <f>E37</f>
        <v>789716210.39999998</v>
      </c>
      <c r="E64" s="87">
        <f>F37</f>
        <v>817356277.76399994</v>
      </c>
      <c r="F64" s="87">
        <f>G37</f>
        <v>845963747.48573995</v>
      </c>
      <c r="G64" s="87">
        <f>H37</f>
        <v>875572478.64774072</v>
      </c>
      <c r="H64" s="87">
        <f>I37</f>
        <v>906217515.40041161</v>
      </c>
      <c r="I64" s="88"/>
      <c r="J64" s="88"/>
      <c r="K64" s="2"/>
      <c r="L64" s="2"/>
    </row>
    <row r="65" spans="1:12" x14ac:dyDescent="0.25">
      <c r="A65" s="59">
        <v>2</v>
      </c>
      <c r="B65" s="86" t="s">
        <v>84</v>
      </c>
      <c r="C65" s="89"/>
      <c r="D65" s="87">
        <f>E58</f>
        <v>737159579</v>
      </c>
      <c r="E65" s="87">
        <f>F58</f>
        <v>750570597.98500001</v>
      </c>
      <c r="F65" s="87">
        <f>G58</f>
        <v>776840568.91447508</v>
      </c>
      <c r="G65" s="87">
        <f>H58</f>
        <v>804029988.82648158</v>
      </c>
      <c r="H65" s="87">
        <f>I58</f>
        <v>832058559.81040823</v>
      </c>
      <c r="I65" s="88"/>
      <c r="J65" s="88"/>
      <c r="K65" s="2"/>
      <c r="L65" s="2"/>
    </row>
    <row r="66" spans="1:12" x14ac:dyDescent="0.25">
      <c r="A66" s="59">
        <v>3</v>
      </c>
      <c r="B66" s="86" t="s">
        <v>85</v>
      </c>
      <c r="C66" s="89">
        <f>C25</f>
        <v>224197425</v>
      </c>
      <c r="D66" s="87"/>
      <c r="E66" s="87"/>
      <c r="F66" s="87"/>
      <c r="G66" s="87"/>
      <c r="H66" s="87"/>
      <c r="I66" s="88"/>
      <c r="J66" s="88"/>
      <c r="K66" s="2"/>
      <c r="L66" s="2"/>
    </row>
    <row r="67" spans="1:12" x14ac:dyDescent="0.25">
      <c r="A67" s="59">
        <v>4</v>
      </c>
      <c r="B67" s="86" t="s">
        <v>134</v>
      </c>
      <c r="C67" s="89">
        <f>SUM(E51:E54)/2</f>
        <v>19174785.5</v>
      </c>
      <c r="D67" s="87"/>
      <c r="E67" s="87"/>
      <c r="F67" s="87"/>
      <c r="G67" s="87"/>
      <c r="H67" s="87">
        <f>C67</f>
        <v>19174785.5</v>
      </c>
      <c r="I67" s="88"/>
      <c r="J67" s="88"/>
      <c r="K67" s="2"/>
      <c r="L67" s="2"/>
    </row>
    <row r="68" spans="1:12" x14ac:dyDescent="0.25">
      <c r="A68" s="59">
        <v>5</v>
      </c>
      <c r="B68" s="86" t="s">
        <v>87</v>
      </c>
      <c r="C68" s="89"/>
      <c r="D68" s="87"/>
      <c r="E68" s="87"/>
      <c r="F68" s="87"/>
      <c r="G68" s="87"/>
      <c r="H68" s="102">
        <f>G24</f>
        <v>123396643.16908598</v>
      </c>
      <c r="I68" s="88"/>
      <c r="J68" s="88"/>
      <c r="K68" s="2"/>
      <c r="L68" s="2"/>
    </row>
    <row r="69" spans="1:12" x14ac:dyDescent="0.25">
      <c r="A69" s="59"/>
      <c r="B69" s="86" t="s">
        <v>89</v>
      </c>
      <c r="C69" s="89">
        <f>-SUM(C66:C67)</f>
        <v>-243372210.5</v>
      </c>
      <c r="D69" s="87">
        <f>SUM(D64-D65-D66+D68)</f>
        <v>52556631.399999976</v>
      </c>
      <c r="E69" s="87">
        <f>SUM(E64-E65-E66+E68)</f>
        <v>66785679.778999925</v>
      </c>
      <c r="F69" s="87">
        <f>SUM(F64-F65-F66+F68)</f>
        <v>69123178.571264863</v>
      </c>
      <c r="G69" s="87">
        <f>SUM(G64-G65-G66+G68)</f>
        <v>71542489.821259141</v>
      </c>
      <c r="H69" s="87">
        <f>SUM(H64-H65-H66+H68+H67)</f>
        <v>216730384.25908935</v>
      </c>
      <c r="I69" s="88"/>
      <c r="J69" s="88"/>
      <c r="K69" s="2"/>
      <c r="L69" s="2"/>
    </row>
    <row r="70" spans="1:12" x14ac:dyDescent="0.25">
      <c r="A70" s="2"/>
      <c r="B70" s="181"/>
      <c r="C70" s="181"/>
      <c r="D70" s="181"/>
      <c r="E70" s="181"/>
      <c r="F70" s="181"/>
      <c r="G70" s="181"/>
      <c r="H70" s="181"/>
      <c r="I70" s="68"/>
      <c r="J70" s="68"/>
      <c r="K70" s="2"/>
      <c r="L70" s="2"/>
    </row>
    <row r="71" spans="1:12" x14ac:dyDescent="0.25">
      <c r="A71" s="2"/>
      <c r="B71" s="2"/>
      <c r="C71" s="2"/>
      <c r="D71" s="2"/>
      <c r="E71" s="2"/>
      <c r="F71" s="2"/>
      <c r="G71" s="2"/>
      <c r="H71" s="2"/>
      <c r="I71" s="68"/>
      <c r="J71" s="68"/>
      <c r="K71" s="2"/>
      <c r="L71" s="2"/>
    </row>
    <row r="72" spans="1:12" x14ac:dyDescent="0.25">
      <c r="A72" s="2"/>
      <c r="B72" s="2"/>
      <c r="C72" s="2"/>
      <c r="D72" s="2"/>
      <c r="E72" s="2"/>
      <c r="F72" s="2"/>
      <c r="G72" s="2"/>
      <c r="H72" s="2"/>
      <c r="I72" s="68"/>
      <c r="J72" s="68"/>
      <c r="K72" s="2"/>
      <c r="L72" s="2"/>
    </row>
    <row r="73" spans="1:12" ht="15.75" x14ac:dyDescent="0.25">
      <c r="A73" s="182" t="s">
        <v>327</v>
      </c>
      <c r="B73" s="183"/>
      <c r="C73" s="184"/>
      <c r="D73" s="2"/>
      <c r="E73" s="2"/>
      <c r="F73" s="2"/>
      <c r="G73" s="90"/>
      <c r="H73" s="2"/>
      <c r="I73" s="2"/>
      <c r="J73" s="2"/>
      <c r="K73" s="2"/>
      <c r="L73" s="2"/>
    </row>
    <row r="74" spans="1:12" x14ac:dyDescent="0.25">
      <c r="A74" s="91" t="s">
        <v>11</v>
      </c>
      <c r="B74" s="92" t="s">
        <v>91</v>
      </c>
      <c r="C74" s="92" t="s">
        <v>92</v>
      </c>
      <c r="D74" s="2"/>
      <c r="E74" s="2"/>
      <c r="F74" s="2"/>
      <c r="G74" s="2"/>
      <c r="H74" s="2"/>
      <c r="I74" s="2"/>
      <c r="J74" s="2"/>
      <c r="K74" s="85"/>
      <c r="L74" s="85"/>
    </row>
    <row r="75" spans="1:12" ht="25.5" x14ac:dyDescent="0.25">
      <c r="A75" s="93">
        <v>1</v>
      </c>
      <c r="B75" s="94" t="s">
        <v>93</v>
      </c>
      <c r="C75" s="95">
        <f>NPV(C79,D69:H69)+C69</f>
        <v>94971589.26050669</v>
      </c>
      <c r="K75" s="88"/>
      <c r="L75" s="88"/>
    </row>
    <row r="76" spans="1:12" ht="25.5" x14ac:dyDescent="0.25">
      <c r="A76" s="93">
        <v>2</v>
      </c>
      <c r="B76" s="94" t="s">
        <v>228</v>
      </c>
      <c r="C76" s="95">
        <f>NPV(C79,D69:H69)</f>
        <v>338343799.76050669</v>
      </c>
      <c r="K76" s="88"/>
      <c r="L76" s="88"/>
    </row>
    <row r="77" spans="1:12" x14ac:dyDescent="0.25">
      <c r="A77" s="93">
        <v>3</v>
      </c>
      <c r="B77" s="96" t="s">
        <v>322</v>
      </c>
      <c r="C77" s="97">
        <f>IRR(C69:H69)</f>
        <v>0.2124698584988256</v>
      </c>
      <c r="K77" s="88"/>
      <c r="L77" s="88"/>
    </row>
    <row r="78" spans="1:12" x14ac:dyDescent="0.25">
      <c r="A78" s="2"/>
      <c r="B78" s="2"/>
      <c r="C78" s="2"/>
      <c r="K78" s="88"/>
      <c r="L78" s="88"/>
    </row>
    <row r="79" spans="1:12" x14ac:dyDescent="0.25">
      <c r="A79" s="2"/>
      <c r="B79" s="98" t="s">
        <v>94</v>
      </c>
      <c r="C79" s="99">
        <v>0.1</v>
      </c>
      <c r="K79" s="68"/>
      <c r="L79" s="68"/>
    </row>
    <row r="86" ht="14.25" customHeight="1" x14ac:dyDescent="0.25"/>
    <row r="87" ht="36.75" customHeight="1" x14ac:dyDescent="0.25"/>
    <row r="91" ht="15.75" customHeight="1" x14ac:dyDescent="0.25"/>
  </sheetData>
  <mergeCells count="22">
    <mergeCell ref="B19:D19"/>
    <mergeCell ref="A1:H1"/>
    <mergeCell ref="A8:D8"/>
    <mergeCell ref="F8:G8"/>
    <mergeCell ref="B10:D10"/>
    <mergeCell ref="B16:D16"/>
    <mergeCell ref="A24:B24"/>
    <mergeCell ref="A28:I28"/>
    <mergeCell ref="A29:A30"/>
    <mergeCell ref="B29:B30"/>
    <mergeCell ref="C29:C30"/>
    <mergeCell ref="D29:D30"/>
    <mergeCell ref="E30:I30"/>
    <mergeCell ref="A62:H62"/>
    <mergeCell ref="B70:H70"/>
    <mergeCell ref="A73:C73"/>
    <mergeCell ref="J31:O31"/>
    <mergeCell ref="B37:D37"/>
    <mergeCell ref="A40:J40"/>
    <mergeCell ref="B42:I42"/>
    <mergeCell ref="B50:I50"/>
    <mergeCell ref="B55:I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3"/>
  <sheetViews>
    <sheetView topLeftCell="A14" workbookViewId="0">
      <selection activeCell="B38" sqref="B38:I38"/>
    </sheetView>
  </sheetViews>
  <sheetFormatPr baseColWidth="10" defaultColWidth="10.85546875" defaultRowHeight="15" x14ac:dyDescent="0.25"/>
  <cols>
    <col min="1" max="1" width="10.85546875" style="3"/>
    <col min="2" max="2" width="37.85546875" style="3" customWidth="1"/>
    <col min="3" max="3" width="18.85546875" style="3" customWidth="1"/>
    <col min="4" max="4" width="48.42578125" style="3" customWidth="1"/>
    <col min="5" max="5" width="18" style="3" customWidth="1"/>
    <col min="6" max="6" width="17.140625" style="3" customWidth="1"/>
    <col min="7" max="7" width="18" style="3" customWidth="1"/>
    <col min="8" max="8" width="23.28515625" style="3" customWidth="1"/>
    <col min="9" max="9" width="23" style="3" customWidth="1"/>
    <col min="10" max="10" width="32.7109375" style="3" customWidth="1"/>
    <col min="11" max="16384" width="10.85546875" style="3"/>
  </cols>
  <sheetData>
    <row r="1" spans="1:12" ht="21" x14ac:dyDescent="0.25">
      <c r="A1" s="175" t="s">
        <v>343</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t="s">
        <v>252</v>
      </c>
      <c r="B6" s="5"/>
      <c r="C6" s="130"/>
      <c r="D6" s="5"/>
      <c r="E6" s="1"/>
      <c r="H6" s="1"/>
      <c r="I6" s="1"/>
      <c r="J6" s="2"/>
      <c r="K6" s="2"/>
      <c r="L6" s="2"/>
    </row>
    <row r="7" spans="1:12" x14ac:dyDescent="0.25">
      <c r="A7" s="1" t="s">
        <v>344</v>
      </c>
      <c r="B7" s="5"/>
      <c r="C7" s="1"/>
      <c r="D7" s="1"/>
      <c r="E7" s="1"/>
      <c r="F7" s="11"/>
      <c r="G7" s="5"/>
      <c r="H7" s="1"/>
      <c r="I7" s="1"/>
      <c r="J7" s="2"/>
      <c r="K7" s="2"/>
      <c r="L7" s="2"/>
    </row>
    <row r="8" spans="1:12" ht="15.75" x14ac:dyDescent="0.25">
      <c r="A8" s="182" t="s">
        <v>6</v>
      </c>
      <c r="B8" s="183"/>
      <c r="C8" s="183"/>
      <c r="D8" s="184"/>
      <c r="E8" s="1"/>
      <c r="F8" s="176"/>
      <c r="G8" s="176"/>
      <c r="H8" s="2"/>
    </row>
    <row r="9" spans="1:12" s="18" customFormat="1" ht="47.25" customHeight="1" x14ac:dyDescent="0.25">
      <c r="A9" s="12" t="s">
        <v>325</v>
      </c>
      <c r="B9" s="13"/>
      <c r="C9" s="14" t="s">
        <v>8</v>
      </c>
      <c r="D9" s="15" t="s">
        <v>9</v>
      </c>
      <c r="E9" s="16"/>
      <c r="F9" s="125"/>
      <c r="G9" s="17" t="s">
        <v>10</v>
      </c>
      <c r="H9" s="16"/>
    </row>
    <row r="10" spans="1:12" x14ac:dyDescent="0.25">
      <c r="A10" s="19" t="s">
        <v>11</v>
      </c>
      <c r="B10" s="172" t="s">
        <v>12</v>
      </c>
      <c r="C10" s="173"/>
      <c r="D10" s="174"/>
      <c r="E10" s="2"/>
      <c r="F10" s="20"/>
      <c r="G10" s="21" t="s">
        <v>13</v>
      </c>
      <c r="H10" s="2"/>
    </row>
    <row r="11" spans="1:12" ht="41.25" customHeight="1" x14ac:dyDescent="0.25">
      <c r="A11" s="22">
        <v>1</v>
      </c>
      <c r="B11" s="23" t="s">
        <v>14</v>
      </c>
      <c r="C11" s="24">
        <v>17000000</v>
      </c>
      <c r="D11" s="23" t="s">
        <v>253</v>
      </c>
      <c r="E11" s="2" t="s">
        <v>254</v>
      </c>
      <c r="F11" s="25">
        <v>0.1</v>
      </c>
      <c r="G11" s="26">
        <f>C11*(1-F11)^5</f>
        <v>10038330.000000004</v>
      </c>
      <c r="H11" s="2"/>
    </row>
    <row r="12" spans="1:12" ht="30.75" customHeight="1" x14ac:dyDescent="0.25">
      <c r="A12" s="27">
        <v>2</v>
      </c>
      <c r="B12" s="23" t="s">
        <v>15</v>
      </c>
      <c r="C12" s="24">
        <v>62000000</v>
      </c>
      <c r="D12" s="23" t="s">
        <v>345</v>
      </c>
      <c r="E12" s="2" t="s">
        <v>254</v>
      </c>
      <c r="F12" s="25">
        <v>0.05</v>
      </c>
      <c r="G12" s="26">
        <f>C12*(1-F12)^5</f>
        <v>47974418.125</v>
      </c>
      <c r="H12" s="2"/>
    </row>
    <row r="13" spans="1:12" ht="35.25" customHeight="1" x14ac:dyDescent="0.25">
      <c r="A13" s="27">
        <v>3</v>
      </c>
      <c r="B13" s="23" t="s">
        <v>346</v>
      </c>
      <c r="C13" s="24">
        <v>1000000</v>
      </c>
      <c r="D13" s="23" t="s">
        <v>255</v>
      </c>
      <c r="E13" s="2" t="s">
        <v>254</v>
      </c>
      <c r="F13" s="25">
        <v>0.2</v>
      </c>
      <c r="G13" s="26">
        <f>C13*(1-F13)^5</f>
        <v>327680.00000000017</v>
      </c>
      <c r="H13" s="2"/>
    </row>
    <row r="14" spans="1:12" ht="31.5" customHeight="1" x14ac:dyDescent="0.25">
      <c r="A14" s="27">
        <v>4</v>
      </c>
      <c r="B14" s="23" t="s">
        <v>168</v>
      </c>
      <c r="C14" s="24">
        <v>5800000</v>
      </c>
      <c r="D14" s="23" t="s">
        <v>256</v>
      </c>
      <c r="E14" s="2"/>
      <c r="F14" s="25">
        <v>0.2</v>
      </c>
      <c r="G14" s="26">
        <f>C14*(1-F14)^5</f>
        <v>1900544.0000000012</v>
      </c>
      <c r="H14" s="2"/>
    </row>
    <row r="15" spans="1:12" x14ac:dyDescent="0.25">
      <c r="A15" s="29"/>
      <c r="B15" s="30"/>
      <c r="C15" s="31">
        <f>SUM(C11:C14)</f>
        <v>85800000</v>
      </c>
      <c r="D15" s="32"/>
      <c r="E15" s="2"/>
      <c r="F15" s="33"/>
      <c r="G15" s="34" t="s">
        <v>18</v>
      </c>
      <c r="H15" s="2"/>
    </row>
    <row r="16" spans="1:12" x14ac:dyDescent="0.25">
      <c r="A16" s="19" t="s">
        <v>11</v>
      </c>
      <c r="B16" s="177" t="s">
        <v>326</v>
      </c>
      <c r="C16" s="177"/>
      <c r="D16" s="177"/>
      <c r="E16" s="2"/>
      <c r="F16" s="20"/>
      <c r="G16" s="35"/>
      <c r="H16" s="2"/>
    </row>
    <row r="17" spans="1:15" x14ac:dyDescent="0.25">
      <c r="A17" s="22">
        <v>1</v>
      </c>
      <c r="B17" s="23" t="s">
        <v>257</v>
      </c>
      <c r="C17" s="24">
        <v>2000000</v>
      </c>
      <c r="D17" s="23" t="s">
        <v>18</v>
      </c>
      <c r="E17" s="2" t="s">
        <v>254</v>
      </c>
      <c r="F17" s="33"/>
      <c r="G17" s="34" t="s">
        <v>18</v>
      </c>
      <c r="H17" s="2"/>
    </row>
    <row r="18" spans="1:15" x14ac:dyDescent="0.25">
      <c r="A18" s="22">
        <v>2</v>
      </c>
      <c r="B18" s="36"/>
      <c r="C18" s="37">
        <f>SUM(C17)</f>
        <v>2000000</v>
      </c>
      <c r="D18" s="38"/>
      <c r="E18" s="39"/>
      <c r="F18" s="33"/>
      <c r="G18" s="34" t="s">
        <v>18</v>
      </c>
      <c r="H18" s="2"/>
    </row>
    <row r="19" spans="1:15" ht="15.75" customHeight="1" x14ac:dyDescent="0.25">
      <c r="A19" s="19" t="s">
        <v>11</v>
      </c>
      <c r="B19" s="172" t="s">
        <v>22</v>
      </c>
      <c r="C19" s="173"/>
      <c r="D19" s="174"/>
      <c r="E19" s="2"/>
      <c r="F19" s="20"/>
      <c r="G19" s="35"/>
      <c r="H19" s="2"/>
    </row>
    <row r="20" spans="1:15" ht="15.75" customHeight="1" x14ac:dyDescent="0.25">
      <c r="A20" s="22">
        <v>1</v>
      </c>
      <c r="B20" s="23" t="s">
        <v>258</v>
      </c>
      <c r="C20" s="24">
        <v>1000000</v>
      </c>
      <c r="D20" s="40" t="s">
        <v>18</v>
      </c>
      <c r="E20" s="2" t="s">
        <v>254</v>
      </c>
      <c r="F20" s="33"/>
      <c r="G20" s="34" t="s">
        <v>18</v>
      </c>
      <c r="H20" s="2"/>
    </row>
    <row r="21" spans="1:15" ht="17.25" customHeight="1" x14ac:dyDescent="0.25">
      <c r="A21" s="22">
        <v>2</v>
      </c>
      <c r="B21" s="23" t="s">
        <v>24</v>
      </c>
      <c r="C21" s="24">
        <v>4000000</v>
      </c>
      <c r="D21" s="40" t="s">
        <v>18</v>
      </c>
      <c r="E21" s="2"/>
      <c r="F21" s="33"/>
      <c r="G21" s="34" t="s">
        <v>18</v>
      </c>
      <c r="H21" s="2"/>
    </row>
    <row r="22" spans="1:15" x14ac:dyDescent="0.25">
      <c r="A22" s="165"/>
      <c r="B22" s="166"/>
      <c r="C22" s="41">
        <f>SUM(C20:C21)</f>
        <v>5000000</v>
      </c>
      <c r="E22" s="42"/>
      <c r="F22" s="33"/>
      <c r="G22" s="43">
        <f>SUM(G11:G21)</f>
        <v>60240972.125</v>
      </c>
      <c r="I22" s="2"/>
    </row>
    <row r="23" spans="1:15" x14ac:dyDescent="0.25">
      <c r="A23" s="44"/>
      <c r="B23" s="45" t="s">
        <v>26</v>
      </c>
      <c r="C23" s="46">
        <f>SUM(C15+C18+C22)</f>
        <v>92800000</v>
      </c>
      <c r="G23" s="2"/>
      <c r="H23" s="2"/>
      <c r="I23" s="2"/>
      <c r="J23" s="2"/>
      <c r="K23" s="2"/>
    </row>
    <row r="24" spans="1:15" x14ac:dyDescent="0.25">
      <c r="A24" s="47"/>
      <c r="B24" s="48"/>
      <c r="C24" s="42"/>
      <c r="D24" s="49"/>
      <c r="E24" s="50"/>
      <c r="F24" s="50"/>
      <c r="G24" s="51"/>
      <c r="H24" s="52"/>
      <c r="I24" s="2"/>
      <c r="J24" s="2"/>
      <c r="K24" s="2"/>
      <c r="L24" s="2"/>
    </row>
    <row r="25" spans="1:15" x14ac:dyDescent="0.25">
      <c r="A25" s="1"/>
      <c r="B25" s="48"/>
      <c r="C25" s="1"/>
      <c r="D25" s="1"/>
      <c r="E25" s="1"/>
      <c r="F25" s="1"/>
      <c r="G25" s="1"/>
      <c r="H25" s="2"/>
      <c r="I25" s="1"/>
      <c r="J25" s="2"/>
      <c r="K25" s="2"/>
      <c r="L25" s="2"/>
    </row>
    <row r="26" spans="1:15" ht="15.75" x14ac:dyDescent="0.25">
      <c r="A26" s="182" t="s">
        <v>27</v>
      </c>
      <c r="B26" s="183"/>
      <c r="C26" s="183"/>
      <c r="D26" s="183"/>
      <c r="E26" s="183"/>
      <c r="F26" s="183"/>
      <c r="G26" s="183"/>
      <c r="H26" s="183"/>
      <c r="I26" s="184"/>
      <c r="J26" s="54"/>
      <c r="K26" s="54"/>
      <c r="L26" s="54"/>
      <c r="M26" s="54"/>
      <c r="N26" s="54"/>
    </row>
    <row r="27" spans="1:15" x14ac:dyDescent="0.25">
      <c r="A27" s="167" t="s">
        <v>11</v>
      </c>
      <c r="B27" s="167" t="s">
        <v>28</v>
      </c>
      <c r="C27" s="167" t="s">
        <v>29</v>
      </c>
      <c r="D27" s="167" t="s">
        <v>118</v>
      </c>
      <c r="E27" s="55" t="s">
        <v>31</v>
      </c>
      <c r="F27" s="56" t="s">
        <v>32</v>
      </c>
      <c r="G27" s="56" t="s">
        <v>33</v>
      </c>
      <c r="H27" s="56" t="s">
        <v>34</v>
      </c>
      <c r="I27" s="56" t="s">
        <v>35</v>
      </c>
      <c r="J27" s="11"/>
      <c r="M27" s="2"/>
      <c r="N27" s="2"/>
    </row>
    <row r="28" spans="1:15" x14ac:dyDescent="0.25">
      <c r="A28" s="168"/>
      <c r="B28" s="168"/>
      <c r="C28" s="168"/>
      <c r="D28" s="168"/>
      <c r="E28" s="169" t="s">
        <v>39</v>
      </c>
      <c r="F28" s="170"/>
      <c r="G28" s="170"/>
      <c r="H28" s="170"/>
      <c r="I28" s="171"/>
      <c r="J28" s="58"/>
      <c r="K28" s="2"/>
      <c r="L28" s="2"/>
    </row>
    <row r="29" spans="1:15" ht="18.75" customHeight="1" x14ac:dyDescent="0.25">
      <c r="A29" s="59">
        <v>1</v>
      </c>
      <c r="B29" s="60" t="s">
        <v>347</v>
      </c>
      <c r="C29" s="10">
        <v>1500</v>
      </c>
      <c r="D29" s="126">
        <v>5000</v>
      </c>
      <c r="E29" s="62">
        <f>C29*D29</f>
        <v>7500000</v>
      </c>
      <c r="F29" s="63">
        <f>($D29*(1+$G$3))*$C29</f>
        <v>7762500</v>
      </c>
      <c r="G29" s="63">
        <f t="shared" ref="G29:I32" si="0">(F29*(1+$G$3))</f>
        <v>8034187.4999999991</v>
      </c>
      <c r="H29" s="63">
        <f t="shared" si="0"/>
        <v>8315384.0624999981</v>
      </c>
      <c r="I29" s="63">
        <f t="shared" si="0"/>
        <v>8606422.5046874974</v>
      </c>
      <c r="J29" s="154"/>
      <c r="K29" s="155"/>
      <c r="L29" s="155"/>
      <c r="M29" s="155"/>
      <c r="N29" s="155"/>
      <c r="O29" s="155"/>
    </row>
    <row r="30" spans="1:15" ht="18.75" customHeight="1" x14ac:dyDescent="0.25">
      <c r="A30" s="59">
        <v>2</v>
      </c>
      <c r="B30" s="60" t="s">
        <v>348</v>
      </c>
      <c r="C30" s="10">
        <v>750</v>
      </c>
      <c r="D30" s="126">
        <v>2000</v>
      </c>
      <c r="E30" s="62">
        <f t="shared" ref="E30:E32" si="1">C30*D30</f>
        <v>1500000</v>
      </c>
      <c r="F30" s="63">
        <f>($D30*(1+$G$3))*$C30</f>
        <v>1552500</v>
      </c>
      <c r="G30" s="63">
        <f t="shared" si="0"/>
        <v>1606837.4999999998</v>
      </c>
      <c r="H30" s="63">
        <f t="shared" si="0"/>
        <v>1663076.8124999995</v>
      </c>
      <c r="I30" s="63">
        <f t="shared" si="0"/>
        <v>1721284.5009374993</v>
      </c>
      <c r="J30" s="123"/>
      <c r="K30" s="124"/>
      <c r="L30" s="124"/>
      <c r="M30" s="124"/>
      <c r="N30" s="124"/>
      <c r="O30" s="124"/>
    </row>
    <row r="31" spans="1:15" ht="18.75" customHeight="1" x14ac:dyDescent="0.25">
      <c r="A31" s="59"/>
      <c r="B31" s="60" t="s">
        <v>259</v>
      </c>
      <c r="C31" s="10">
        <v>750</v>
      </c>
      <c r="D31" s="126">
        <v>2000</v>
      </c>
      <c r="E31" s="62">
        <f t="shared" si="1"/>
        <v>1500000</v>
      </c>
      <c r="F31" s="63">
        <f>($D31*(1+$G$3))*$C31</f>
        <v>1552500</v>
      </c>
      <c r="G31" s="63">
        <f t="shared" si="0"/>
        <v>1606837.4999999998</v>
      </c>
      <c r="H31" s="63">
        <f t="shared" si="0"/>
        <v>1663076.8124999995</v>
      </c>
      <c r="I31" s="63">
        <f t="shared" si="0"/>
        <v>1721284.5009374993</v>
      </c>
      <c r="J31" s="123"/>
      <c r="K31" s="124"/>
      <c r="L31" s="124"/>
      <c r="M31" s="124"/>
      <c r="N31" s="124"/>
      <c r="O31" s="124"/>
    </row>
    <row r="32" spans="1:15" x14ac:dyDescent="0.25">
      <c r="A32" s="59">
        <v>3</v>
      </c>
      <c r="B32" s="60" t="s">
        <v>260</v>
      </c>
      <c r="C32" s="10">
        <v>700</v>
      </c>
      <c r="D32" s="126">
        <v>18000</v>
      </c>
      <c r="E32" s="62">
        <f t="shared" si="1"/>
        <v>12600000</v>
      </c>
      <c r="F32" s="63">
        <f>($D32*(1+$G$3))*$C32</f>
        <v>13041000</v>
      </c>
      <c r="G32" s="63">
        <f t="shared" si="0"/>
        <v>13497434.999999998</v>
      </c>
      <c r="H32" s="63">
        <f t="shared" si="0"/>
        <v>13969845.224999998</v>
      </c>
      <c r="I32" s="63">
        <f t="shared" si="0"/>
        <v>14458789.807874996</v>
      </c>
      <c r="J32" s="123"/>
      <c r="K32" s="1"/>
      <c r="L32" s="2"/>
      <c r="M32" s="2"/>
      <c r="N32" s="2"/>
    </row>
    <row r="33" spans="1:14" ht="15" customHeight="1" x14ac:dyDescent="0.25">
      <c r="A33" s="5"/>
      <c r="B33" s="156" t="s">
        <v>43</v>
      </c>
      <c r="C33" s="157"/>
      <c r="D33" s="158"/>
      <c r="E33" s="46">
        <f>SUM(E29:E32)</f>
        <v>23100000</v>
      </c>
      <c r="F33" s="46">
        <f>SUM(F29:F32)</f>
        <v>23908500</v>
      </c>
      <c r="G33" s="46">
        <f>SUM(G29:G32)</f>
        <v>24745297.499999996</v>
      </c>
      <c r="H33" s="46">
        <f>SUM(H29:H32)</f>
        <v>25611382.912499994</v>
      </c>
      <c r="I33" s="46">
        <f>SUM(I29:I32)</f>
        <v>26507781.314437494</v>
      </c>
      <c r="J33" s="66"/>
      <c r="K33" s="2"/>
      <c r="L33" s="2"/>
    </row>
    <row r="34" spans="1:14" x14ac:dyDescent="0.25">
      <c r="A34" s="2"/>
      <c r="B34" s="48" t="s">
        <v>261</v>
      </c>
      <c r="C34" s="67"/>
      <c r="D34" s="68"/>
      <c r="E34" s="68"/>
      <c r="F34" s="68"/>
      <c r="G34" s="68"/>
      <c r="H34" s="68"/>
      <c r="I34" s="1"/>
      <c r="J34" s="11"/>
      <c r="K34" s="66"/>
      <c r="L34" s="66"/>
      <c r="M34" s="2"/>
      <c r="N34" s="2"/>
    </row>
    <row r="35" spans="1:14" x14ac:dyDescent="0.25">
      <c r="A35" s="2"/>
      <c r="B35" s="69"/>
      <c r="C35" s="67"/>
      <c r="D35" s="68"/>
      <c r="E35" s="68"/>
      <c r="F35" s="68"/>
      <c r="G35" s="68"/>
      <c r="H35" s="68"/>
      <c r="I35" s="1"/>
      <c r="J35" s="11"/>
      <c r="M35" s="2"/>
      <c r="N35" s="2"/>
    </row>
    <row r="36" spans="1:14" ht="15.75" x14ac:dyDescent="0.25">
      <c r="A36" s="185" t="s">
        <v>44</v>
      </c>
      <c r="B36" s="186"/>
      <c r="C36" s="186"/>
      <c r="D36" s="186"/>
      <c r="E36" s="186"/>
      <c r="F36" s="186"/>
      <c r="G36" s="186"/>
      <c r="H36" s="186"/>
      <c r="I36" s="186"/>
      <c r="J36" s="187"/>
      <c r="K36" s="54"/>
      <c r="L36" s="54"/>
      <c r="M36" s="54"/>
      <c r="N36" s="44"/>
    </row>
    <row r="37" spans="1:14" ht="15" customHeight="1" x14ac:dyDescent="0.25">
      <c r="A37" s="56" t="s">
        <v>11</v>
      </c>
      <c r="B37" s="70" t="s">
        <v>325</v>
      </c>
      <c r="C37" s="71" t="s">
        <v>328</v>
      </c>
      <c r="D37" s="71" t="s">
        <v>335</v>
      </c>
      <c r="E37" s="55" t="s">
        <v>31</v>
      </c>
      <c r="F37" s="56" t="s">
        <v>32</v>
      </c>
      <c r="G37" s="56" t="s">
        <v>33</v>
      </c>
      <c r="H37" s="56" t="s">
        <v>34</v>
      </c>
      <c r="I37" s="56" t="s">
        <v>35</v>
      </c>
      <c r="J37" s="14" t="s">
        <v>9</v>
      </c>
    </row>
    <row r="38" spans="1:14" ht="15" customHeight="1" x14ac:dyDescent="0.25">
      <c r="A38" s="101"/>
      <c r="B38" s="163" t="s">
        <v>47</v>
      </c>
      <c r="C38" s="163"/>
      <c r="D38" s="163"/>
      <c r="E38" s="163"/>
      <c r="F38" s="163"/>
      <c r="G38" s="163"/>
      <c r="H38" s="163"/>
      <c r="I38" s="164"/>
      <c r="J38" s="73"/>
    </row>
    <row r="39" spans="1:14" x14ac:dyDescent="0.25">
      <c r="A39" s="59" t="s">
        <v>48</v>
      </c>
      <c r="B39" s="74" t="s">
        <v>149</v>
      </c>
      <c r="C39" s="9"/>
      <c r="D39" s="127"/>
      <c r="E39" s="75">
        <f t="shared" ref="E39:E49" si="2">C39*D39</f>
        <v>0</v>
      </c>
      <c r="F39" s="75">
        <f>E39*(1+$G$3)</f>
        <v>0</v>
      </c>
      <c r="G39" s="75">
        <f>F39*(1+$G$3)</f>
        <v>0</v>
      </c>
      <c r="H39" s="75">
        <f>G39*(1+$G$3)</f>
        <v>0</v>
      </c>
      <c r="I39" s="75">
        <f>H39*(1+$G$3)</f>
        <v>0</v>
      </c>
      <c r="J39" s="10"/>
      <c r="K39" s="2"/>
      <c r="L39" s="2"/>
      <c r="M39" s="2"/>
    </row>
    <row r="40" spans="1:14" x14ac:dyDescent="0.25">
      <c r="A40" s="59" t="s">
        <v>51</v>
      </c>
      <c r="B40" s="74" t="s">
        <v>55</v>
      </c>
      <c r="C40" s="9"/>
      <c r="D40" s="127"/>
      <c r="E40" s="75">
        <f t="shared" si="2"/>
        <v>0</v>
      </c>
      <c r="F40" s="75">
        <f>E40*(1+$G$3)</f>
        <v>0</v>
      </c>
      <c r="G40" s="75">
        <f>F40*(1+$G$3)</f>
        <v>0</v>
      </c>
      <c r="H40" s="75"/>
      <c r="I40" s="75"/>
      <c r="J40" s="10"/>
      <c r="K40" s="2"/>
      <c r="L40" s="2"/>
      <c r="M40" s="2"/>
    </row>
    <row r="41" spans="1:14" x14ac:dyDescent="0.25">
      <c r="A41" s="59" t="s">
        <v>54</v>
      </c>
      <c r="B41" s="60" t="s">
        <v>136</v>
      </c>
      <c r="C41" s="9">
        <v>1</v>
      </c>
      <c r="D41" s="127">
        <v>50000</v>
      </c>
      <c r="E41" s="75">
        <f t="shared" si="2"/>
        <v>50000</v>
      </c>
      <c r="F41" s="75">
        <f>D41*C41</f>
        <v>50000</v>
      </c>
      <c r="G41" s="75">
        <f>F41*(1+$G$3)</f>
        <v>51749.999999999993</v>
      </c>
      <c r="H41" s="75">
        <f>G41*(1+$G$3)</f>
        <v>53561.249999999985</v>
      </c>
      <c r="I41" s="75">
        <f>H41*(1+$G$3)</f>
        <v>55435.893749999981</v>
      </c>
      <c r="J41" s="10"/>
      <c r="K41" s="2"/>
    </row>
    <row r="42" spans="1:14" x14ac:dyDescent="0.25">
      <c r="A42" s="59" t="s">
        <v>57</v>
      </c>
      <c r="B42" s="60"/>
      <c r="C42" s="9"/>
      <c r="D42" s="127"/>
      <c r="E42" s="75">
        <f t="shared" si="2"/>
        <v>0</v>
      </c>
      <c r="F42" s="75">
        <f>D42*C42</f>
        <v>0</v>
      </c>
      <c r="G42" s="75">
        <f>F42*(1+$G$3)</f>
        <v>0</v>
      </c>
      <c r="H42" s="75">
        <f t="shared" ref="H42:I42" si="3">G42</f>
        <v>0</v>
      </c>
      <c r="I42" s="75">
        <f t="shared" si="3"/>
        <v>0</v>
      </c>
      <c r="J42" s="10"/>
      <c r="K42" s="2"/>
    </row>
    <row r="43" spans="1:14" x14ac:dyDescent="0.25">
      <c r="A43" s="56">
        <v>2</v>
      </c>
      <c r="B43" s="140" t="s">
        <v>60</v>
      </c>
      <c r="C43" s="141"/>
      <c r="D43" s="141"/>
      <c r="E43" s="141"/>
      <c r="F43" s="141"/>
      <c r="G43" s="141"/>
      <c r="H43" s="141"/>
      <c r="I43" s="142"/>
      <c r="J43" s="77"/>
      <c r="K43" s="2"/>
    </row>
    <row r="44" spans="1:14" x14ac:dyDescent="0.25">
      <c r="A44" s="59" t="s">
        <v>48</v>
      </c>
      <c r="B44" s="78" t="s">
        <v>61</v>
      </c>
      <c r="C44" s="9">
        <v>2</v>
      </c>
      <c r="D44" s="127">
        <f>290000*12</f>
        <v>3480000</v>
      </c>
      <c r="E44" s="75">
        <f>C44*D44</f>
        <v>6960000</v>
      </c>
      <c r="F44" s="75">
        <f>E44*(1+$G$3)</f>
        <v>7203599.9999999991</v>
      </c>
      <c r="G44" s="75">
        <f>F44*(1+$G$3)</f>
        <v>7455725.9999999981</v>
      </c>
      <c r="H44" s="75">
        <f>G44*(1+$G$3)</f>
        <v>7716676.4099999974</v>
      </c>
      <c r="I44" s="75">
        <f>H44*(1+$G$3)</f>
        <v>7986760.0843499964</v>
      </c>
      <c r="J44" s="10"/>
      <c r="K44" s="2"/>
    </row>
    <row r="45" spans="1:14" ht="22.5" customHeight="1" x14ac:dyDescent="0.25">
      <c r="A45" s="56" t="s">
        <v>51</v>
      </c>
      <c r="B45" s="74" t="s">
        <v>62</v>
      </c>
      <c r="C45" s="9">
        <v>1</v>
      </c>
      <c r="D45" s="127">
        <v>143040</v>
      </c>
      <c r="E45" s="75">
        <v>0</v>
      </c>
      <c r="F45" s="75">
        <f>D45*C45</f>
        <v>143040</v>
      </c>
      <c r="G45" s="75">
        <f t="shared" ref="G45:I46" si="4">F45*(1+$G$3)</f>
        <v>148046.39999999999</v>
      </c>
      <c r="H45" s="75">
        <f t="shared" si="4"/>
        <v>153228.02399999998</v>
      </c>
      <c r="I45" s="75">
        <f t="shared" si="4"/>
        <v>158591.00483999995</v>
      </c>
      <c r="J45" s="10"/>
      <c r="K45" s="2"/>
    </row>
    <row r="46" spans="1:14" ht="15.75" customHeight="1" x14ac:dyDescent="0.25">
      <c r="A46" s="56" t="s">
        <v>54</v>
      </c>
      <c r="B46" s="74" t="s">
        <v>154</v>
      </c>
      <c r="C46" s="9">
        <v>1</v>
      </c>
      <c r="D46" s="127">
        <v>332640</v>
      </c>
      <c r="E46" s="75">
        <v>0</v>
      </c>
      <c r="F46" s="75">
        <f>D46*C46</f>
        <v>332640</v>
      </c>
      <c r="G46" s="75">
        <f t="shared" si="4"/>
        <v>344282.39999999997</v>
      </c>
      <c r="H46" s="75">
        <f t="shared" si="4"/>
        <v>356332.28399999993</v>
      </c>
      <c r="I46" s="75">
        <f t="shared" si="4"/>
        <v>368803.91393999988</v>
      </c>
      <c r="J46" s="10"/>
      <c r="K46" s="2"/>
    </row>
    <row r="47" spans="1:14" x14ac:dyDescent="0.25">
      <c r="A47" s="56">
        <v>3</v>
      </c>
      <c r="B47" s="162" t="s">
        <v>75</v>
      </c>
      <c r="C47" s="163"/>
      <c r="D47" s="163"/>
      <c r="E47" s="163"/>
      <c r="F47" s="163"/>
      <c r="G47" s="163"/>
      <c r="H47" s="163"/>
      <c r="I47" s="164"/>
      <c r="J47" s="77"/>
      <c r="K47" s="2"/>
    </row>
    <row r="48" spans="1:14" ht="31.5" customHeight="1" x14ac:dyDescent="0.25">
      <c r="A48" s="59" t="s">
        <v>48</v>
      </c>
      <c r="B48" s="60" t="s">
        <v>262</v>
      </c>
      <c r="C48" s="9">
        <v>1</v>
      </c>
      <c r="D48" s="127">
        <v>200000</v>
      </c>
      <c r="E48" s="75">
        <f t="shared" si="2"/>
        <v>200000</v>
      </c>
      <c r="F48" s="75">
        <f t="shared" ref="F48:I49" si="5">E48*(1+$G$3)</f>
        <v>206999.99999999997</v>
      </c>
      <c r="G48" s="75">
        <f t="shared" si="5"/>
        <v>214244.99999999994</v>
      </c>
      <c r="H48" s="75">
        <f t="shared" si="5"/>
        <v>221743.57499999992</v>
      </c>
      <c r="I48" s="75">
        <f t="shared" si="5"/>
        <v>229504.60012499991</v>
      </c>
      <c r="J48" s="10"/>
      <c r="K48" s="2"/>
    </row>
    <row r="49" spans="1:12" ht="31.5" customHeight="1" x14ac:dyDescent="0.25">
      <c r="A49" s="59" t="s">
        <v>51</v>
      </c>
      <c r="B49" s="78" t="s">
        <v>77</v>
      </c>
      <c r="C49" s="9"/>
      <c r="D49" s="127"/>
      <c r="E49" s="75">
        <f t="shared" si="2"/>
        <v>0</v>
      </c>
      <c r="F49" s="75">
        <f t="shared" si="5"/>
        <v>0</v>
      </c>
      <c r="G49" s="75">
        <f t="shared" si="5"/>
        <v>0</v>
      </c>
      <c r="H49" s="75">
        <f t="shared" si="5"/>
        <v>0</v>
      </c>
      <c r="I49" s="75">
        <f t="shared" si="5"/>
        <v>0</v>
      </c>
      <c r="J49" s="10"/>
      <c r="K49" s="2"/>
    </row>
    <row r="50" spans="1:12" x14ac:dyDescent="0.25">
      <c r="A50" s="56"/>
      <c r="B50" s="70" t="s">
        <v>79</v>
      </c>
      <c r="C50" s="70"/>
      <c r="D50" s="70"/>
      <c r="E50" s="46">
        <f>SUM(E39:E49)</f>
        <v>7210000</v>
      </c>
      <c r="F50" s="46">
        <f>SUM(F39:F49)</f>
        <v>7936279.9999999991</v>
      </c>
      <c r="G50" s="46">
        <f t="shared" ref="G50:I50" si="6">SUM(G39:G49)</f>
        <v>8214049.7999999989</v>
      </c>
      <c r="H50" s="46">
        <f t="shared" si="6"/>
        <v>8501541.5429999977</v>
      </c>
      <c r="I50" s="46">
        <f t="shared" si="6"/>
        <v>8799095.4970049951</v>
      </c>
      <c r="J50" s="80"/>
      <c r="K50" s="2"/>
    </row>
    <row r="51" spans="1:12" x14ac:dyDescent="0.25">
      <c r="A51" s="2"/>
      <c r="B51" s="48"/>
      <c r="C51" s="1"/>
      <c r="D51" s="1"/>
      <c r="E51" s="11"/>
      <c r="F51" s="1"/>
      <c r="G51" s="1"/>
      <c r="H51" s="1"/>
      <c r="I51" s="1"/>
      <c r="J51" s="1"/>
      <c r="K51" s="2"/>
      <c r="L51" s="2"/>
    </row>
    <row r="52" spans="1:12" x14ac:dyDescent="0.25">
      <c r="A52" s="2"/>
      <c r="B52" s="2"/>
      <c r="C52" s="81"/>
      <c r="D52" s="2"/>
      <c r="E52" s="2"/>
      <c r="F52" s="2"/>
      <c r="G52" s="2"/>
      <c r="H52" s="2"/>
      <c r="I52" s="2"/>
      <c r="J52" s="2"/>
      <c r="K52" s="2"/>
      <c r="L52" s="2"/>
    </row>
    <row r="53" spans="1:12" x14ac:dyDescent="0.25">
      <c r="A53" s="2"/>
      <c r="B53" s="2"/>
      <c r="C53" s="81"/>
      <c r="D53" s="2"/>
      <c r="E53" s="2"/>
      <c r="F53" s="2"/>
      <c r="G53" s="2"/>
      <c r="H53" s="2"/>
      <c r="I53" s="2"/>
      <c r="J53" s="2"/>
      <c r="K53" s="2"/>
      <c r="L53" s="2"/>
    </row>
    <row r="54" spans="1:12" ht="15.75" x14ac:dyDescent="0.25">
      <c r="A54" s="178" t="s">
        <v>80</v>
      </c>
      <c r="B54" s="179"/>
      <c r="C54" s="179"/>
      <c r="D54" s="179"/>
      <c r="E54" s="179"/>
      <c r="F54" s="179"/>
      <c r="G54" s="179"/>
      <c r="H54" s="180"/>
      <c r="I54" s="2"/>
      <c r="J54" s="2"/>
      <c r="K54" s="2"/>
      <c r="L54" s="2"/>
    </row>
    <row r="55" spans="1:12" x14ac:dyDescent="0.25">
      <c r="A55" s="56" t="s">
        <v>11</v>
      </c>
      <c r="B55" s="82" t="s">
        <v>81</v>
      </c>
      <c r="C55" s="83" t="s">
        <v>82</v>
      </c>
      <c r="D55" s="84" t="s">
        <v>31</v>
      </c>
      <c r="E55" s="84" t="s">
        <v>32</v>
      </c>
      <c r="F55" s="84" t="s">
        <v>33</v>
      </c>
      <c r="G55" s="84" t="s">
        <v>34</v>
      </c>
      <c r="H55" s="84" t="s">
        <v>35</v>
      </c>
      <c r="I55" s="85"/>
      <c r="J55" s="85"/>
      <c r="K55" s="2"/>
      <c r="L55" s="2"/>
    </row>
    <row r="56" spans="1:12" x14ac:dyDescent="0.25">
      <c r="A56" s="59">
        <v>1</v>
      </c>
      <c r="B56" s="86" t="s">
        <v>83</v>
      </c>
      <c r="C56" s="87"/>
      <c r="D56" s="87">
        <f>E33</f>
        <v>23100000</v>
      </c>
      <c r="E56" s="87">
        <f>F33</f>
        <v>23908500</v>
      </c>
      <c r="F56" s="87">
        <f>G33</f>
        <v>24745297.499999996</v>
      </c>
      <c r="G56" s="87">
        <f>H33</f>
        <v>25611382.912499994</v>
      </c>
      <c r="H56" s="87">
        <f>I33</f>
        <v>26507781.314437494</v>
      </c>
      <c r="I56" s="88"/>
      <c r="J56" s="88"/>
      <c r="K56" s="2"/>
      <c r="L56" s="2"/>
    </row>
    <row r="57" spans="1:12" x14ac:dyDescent="0.25">
      <c r="A57" s="59">
        <v>2</v>
      </c>
      <c r="B57" s="86" t="s">
        <v>84</v>
      </c>
      <c r="C57" s="89"/>
      <c r="D57" s="87">
        <f>E50</f>
        <v>7210000</v>
      </c>
      <c r="E57" s="87">
        <f>F50</f>
        <v>7936279.9999999991</v>
      </c>
      <c r="F57" s="87">
        <f>G50</f>
        <v>8214049.7999999989</v>
      </c>
      <c r="G57" s="87">
        <f>H50</f>
        <v>8501541.5429999977</v>
      </c>
      <c r="H57" s="87">
        <f>I50</f>
        <v>8799095.4970049951</v>
      </c>
      <c r="I57" s="88"/>
      <c r="J57" s="88"/>
      <c r="K57" s="2"/>
      <c r="L57" s="2"/>
    </row>
    <row r="58" spans="1:12" x14ac:dyDescent="0.25">
      <c r="A58" s="59">
        <v>3</v>
      </c>
      <c r="B58" s="86" t="s">
        <v>85</v>
      </c>
      <c r="C58" s="89">
        <f>C23</f>
        <v>92800000</v>
      </c>
      <c r="D58" s="87"/>
      <c r="E58" s="87"/>
      <c r="F58" s="87"/>
      <c r="G58" s="87"/>
      <c r="H58" s="87"/>
      <c r="I58" s="88"/>
      <c r="J58" s="88"/>
      <c r="K58" s="2"/>
      <c r="L58" s="2"/>
    </row>
    <row r="59" spans="1:12" x14ac:dyDescent="0.25">
      <c r="A59" s="59">
        <v>4</v>
      </c>
      <c r="B59" s="86" t="s">
        <v>134</v>
      </c>
      <c r="C59" s="89">
        <f>SUM(E44:E46)/2</f>
        <v>3480000</v>
      </c>
      <c r="D59" s="87"/>
      <c r="E59" s="87"/>
      <c r="F59" s="87"/>
      <c r="G59" s="87"/>
      <c r="H59" s="87">
        <f>C59</f>
        <v>3480000</v>
      </c>
      <c r="I59" s="88"/>
      <c r="J59" s="88"/>
      <c r="K59" s="2"/>
      <c r="L59" s="2"/>
    </row>
    <row r="60" spans="1:12" x14ac:dyDescent="0.25">
      <c r="A60" s="59">
        <v>5</v>
      </c>
      <c r="B60" s="86" t="s">
        <v>87</v>
      </c>
      <c r="C60" s="89"/>
      <c r="D60" s="87"/>
      <c r="E60" s="87"/>
      <c r="F60" s="87"/>
      <c r="G60" s="87"/>
      <c r="H60" s="102">
        <f>G22</f>
        <v>60240972.125</v>
      </c>
      <c r="I60" s="88"/>
      <c r="J60" s="88"/>
      <c r="K60" s="2"/>
      <c r="L60" s="2"/>
    </row>
    <row r="61" spans="1:12" x14ac:dyDescent="0.25">
      <c r="A61" s="59"/>
      <c r="B61" s="86" t="s">
        <v>89</v>
      </c>
      <c r="C61" s="89">
        <f>-SUM(C58:C59)</f>
        <v>-96280000</v>
      </c>
      <c r="D61" s="87">
        <f>SUM(D56-D57-D58+D60)</f>
        <v>15890000</v>
      </c>
      <c r="E61" s="87">
        <f>SUM(E56-E57-E58+E60)</f>
        <v>15972220</v>
      </c>
      <c r="F61" s="87">
        <f>SUM(F56-F57-F58+F60)</f>
        <v>16531247.699999997</v>
      </c>
      <c r="G61" s="87">
        <f>SUM(G56-G57-G58+G60)</f>
        <v>17109841.369499996</v>
      </c>
      <c r="H61" s="87">
        <f>SUM(H56-H57-H58+H60+H59)</f>
        <v>81429657.942432493</v>
      </c>
      <c r="I61" s="88"/>
      <c r="J61" s="88"/>
      <c r="K61" s="2"/>
      <c r="L61" s="2"/>
    </row>
    <row r="62" spans="1:12" x14ac:dyDescent="0.25">
      <c r="A62" s="2"/>
      <c r="B62" s="181"/>
      <c r="C62" s="181"/>
      <c r="D62" s="181"/>
      <c r="E62" s="181"/>
      <c r="F62" s="181"/>
      <c r="G62" s="181"/>
      <c r="H62" s="181"/>
      <c r="I62" s="68"/>
      <c r="J62" s="68"/>
      <c r="K62" s="2"/>
      <c r="L62" s="2"/>
    </row>
    <row r="63" spans="1:12" x14ac:dyDescent="0.25">
      <c r="A63" s="2"/>
      <c r="B63" s="2"/>
      <c r="C63" s="2"/>
      <c r="D63" s="2"/>
      <c r="E63" s="2"/>
      <c r="F63" s="2"/>
      <c r="G63" s="2"/>
      <c r="H63" s="2"/>
      <c r="I63" s="68"/>
      <c r="J63" s="68"/>
      <c r="K63" s="2"/>
      <c r="L63" s="2"/>
    </row>
    <row r="64" spans="1:12" x14ac:dyDescent="0.25">
      <c r="A64" s="2"/>
      <c r="B64" s="2"/>
      <c r="C64" s="2"/>
      <c r="D64" s="2"/>
      <c r="E64" s="2"/>
      <c r="F64" s="2"/>
      <c r="G64" s="2"/>
      <c r="H64" s="2"/>
      <c r="I64" s="68"/>
      <c r="J64" s="68"/>
      <c r="K64" s="2"/>
      <c r="L64" s="2"/>
    </row>
    <row r="65" spans="1:12" ht="15.75" x14ac:dyDescent="0.25">
      <c r="A65" s="182" t="s">
        <v>327</v>
      </c>
      <c r="B65" s="183"/>
      <c r="C65" s="184"/>
      <c r="D65" s="2"/>
      <c r="E65" s="2"/>
      <c r="F65" s="2"/>
      <c r="G65" s="90"/>
      <c r="H65" s="2"/>
      <c r="I65" s="2"/>
      <c r="J65" s="2"/>
      <c r="K65" s="2"/>
      <c r="L65" s="2"/>
    </row>
    <row r="66" spans="1:12" x14ac:dyDescent="0.25">
      <c r="A66" s="91" t="s">
        <v>11</v>
      </c>
      <c r="B66" s="92" t="s">
        <v>91</v>
      </c>
      <c r="C66" s="92" t="s">
        <v>92</v>
      </c>
      <c r="D66" s="2"/>
      <c r="E66" s="2"/>
      <c r="F66" s="2"/>
      <c r="G66" s="2"/>
      <c r="H66" s="2"/>
      <c r="I66" s="2"/>
      <c r="J66" s="2"/>
      <c r="K66" s="85"/>
      <c r="L66" s="85"/>
    </row>
    <row r="67" spans="1:12" ht="25.5" x14ac:dyDescent="0.25">
      <c r="A67" s="93">
        <v>1</v>
      </c>
      <c r="B67" s="94" t="s">
        <v>93</v>
      </c>
      <c r="C67" s="95">
        <f>NPV(C71,D61:H61)+C61</f>
        <v>6033470.2584165484</v>
      </c>
      <c r="K67" s="88"/>
      <c r="L67" s="88"/>
    </row>
    <row r="68" spans="1:12" ht="25.5" x14ac:dyDescent="0.25">
      <c r="A68" s="93">
        <v>2</v>
      </c>
      <c r="B68" s="94" t="s">
        <v>228</v>
      </c>
      <c r="C68" s="95">
        <f>NPV(C71,D61:H61)</f>
        <v>102313470.25841655</v>
      </c>
      <c r="K68" s="88"/>
      <c r="L68" s="88"/>
    </row>
    <row r="69" spans="1:12" x14ac:dyDescent="0.25">
      <c r="A69" s="93">
        <v>3</v>
      </c>
      <c r="B69" s="96" t="s">
        <v>322</v>
      </c>
      <c r="C69" s="97">
        <f>IRR(C61:H61)</f>
        <v>0.11835929960647618</v>
      </c>
      <c r="K69" s="88"/>
      <c r="L69" s="88"/>
    </row>
    <row r="70" spans="1:12" x14ac:dyDescent="0.25">
      <c r="A70" s="2"/>
      <c r="B70" s="2"/>
      <c r="C70" s="2"/>
      <c r="K70" s="88"/>
      <c r="L70" s="88"/>
    </row>
    <row r="71" spans="1:12" x14ac:dyDescent="0.25">
      <c r="A71" s="2"/>
      <c r="B71" s="98" t="s">
        <v>94</v>
      </c>
      <c r="C71" s="99">
        <v>0.1</v>
      </c>
      <c r="K71" s="68"/>
      <c r="L71" s="68"/>
    </row>
    <row r="78" spans="1:12" ht="14.25" customHeight="1" x14ac:dyDescent="0.25"/>
    <row r="79" spans="1:12" ht="36.75" customHeight="1" x14ac:dyDescent="0.25"/>
    <row r="83" ht="15.75" customHeight="1" x14ac:dyDescent="0.25"/>
  </sheetData>
  <mergeCells count="22">
    <mergeCell ref="B19:D19"/>
    <mergeCell ref="A1:H1"/>
    <mergeCell ref="A8:D8"/>
    <mergeCell ref="F8:G8"/>
    <mergeCell ref="B10:D10"/>
    <mergeCell ref="B16:D16"/>
    <mergeCell ref="A22:B22"/>
    <mergeCell ref="A26:I26"/>
    <mergeCell ref="A27:A28"/>
    <mergeCell ref="B27:B28"/>
    <mergeCell ref="C27:C28"/>
    <mergeCell ref="D27:D28"/>
    <mergeCell ref="E28:I28"/>
    <mergeCell ref="A54:H54"/>
    <mergeCell ref="B62:H62"/>
    <mergeCell ref="A65:C65"/>
    <mergeCell ref="J29:O29"/>
    <mergeCell ref="B33:D33"/>
    <mergeCell ref="A36:J36"/>
    <mergeCell ref="B38:I38"/>
    <mergeCell ref="B43:I43"/>
    <mergeCell ref="B47:I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Y76"/>
  <sheetViews>
    <sheetView showGridLines="0" topLeftCell="A36" zoomScaleNormal="80" zoomScalePageLayoutView="80" workbookViewId="0">
      <selection activeCell="D36" sqref="D36"/>
    </sheetView>
  </sheetViews>
  <sheetFormatPr baseColWidth="10" defaultRowHeight="15" x14ac:dyDescent="0.25"/>
  <cols>
    <col min="2" max="2" width="30.85546875" customWidth="1"/>
    <col min="3" max="3" width="17.42578125" customWidth="1"/>
    <col min="4" max="4" width="41.28515625" customWidth="1"/>
    <col min="5" max="5" width="15.7109375" customWidth="1"/>
    <col min="6" max="6" width="16.85546875" customWidth="1"/>
    <col min="7" max="7" width="17.42578125" customWidth="1"/>
    <col min="8" max="8" width="16.28515625" customWidth="1"/>
    <col min="9" max="9" width="17.7109375" customWidth="1"/>
    <col min="10" max="10" width="16.42578125" customWidth="1"/>
    <col min="11" max="11" width="15.140625" customWidth="1"/>
    <col min="12" max="12" width="14.42578125" customWidth="1"/>
    <col min="13" max="13" width="15" customWidth="1"/>
    <col min="14" max="14" width="16" customWidth="1"/>
    <col min="15" max="15" width="15.42578125" customWidth="1"/>
    <col min="16" max="17" width="15.28515625" customWidth="1"/>
    <col min="18" max="18" width="16.42578125" customWidth="1"/>
    <col min="19" max="19" width="14.7109375" customWidth="1"/>
    <col min="20" max="20" width="46.28515625" customWidth="1"/>
  </cols>
  <sheetData>
    <row r="1" spans="1:25" ht="21" x14ac:dyDescent="0.25">
      <c r="A1" s="188" t="s">
        <v>0</v>
      </c>
      <c r="B1" s="188"/>
      <c r="C1" s="188"/>
      <c r="D1" s="188"/>
      <c r="E1" s="188"/>
      <c r="F1" s="188"/>
      <c r="G1" s="188"/>
      <c r="H1" s="188"/>
      <c r="I1" s="1"/>
      <c r="J1" s="1"/>
      <c r="K1" s="1"/>
      <c r="L1" s="1"/>
      <c r="M1" s="1"/>
      <c r="N1" s="1"/>
      <c r="O1" s="1"/>
      <c r="P1" s="1"/>
      <c r="Q1" s="1"/>
      <c r="R1" s="1"/>
      <c r="S1" s="1"/>
      <c r="T1" s="2"/>
      <c r="U1" s="2"/>
      <c r="V1" s="2"/>
      <c r="W1" s="3"/>
      <c r="X1" s="3"/>
      <c r="Y1" s="3"/>
    </row>
    <row r="2" spans="1:25" ht="21" x14ac:dyDescent="0.25">
      <c r="A2" s="1"/>
      <c r="B2" s="4"/>
      <c r="C2" s="5" t="s">
        <v>1</v>
      </c>
      <c r="D2" s="1"/>
      <c r="E2" s="1"/>
      <c r="F2" s="3"/>
      <c r="G2" s="3"/>
      <c r="H2" s="1"/>
      <c r="I2" s="1"/>
      <c r="J2" s="1"/>
      <c r="K2" s="1"/>
      <c r="L2" s="1"/>
      <c r="M2" s="1"/>
      <c r="N2" s="1"/>
      <c r="O2" s="1"/>
      <c r="P2" s="1"/>
      <c r="Q2" s="1"/>
      <c r="R2" s="1"/>
      <c r="S2" s="1"/>
      <c r="T2" s="2"/>
      <c r="U2" s="2"/>
      <c r="V2" s="2"/>
      <c r="W2" s="3"/>
      <c r="X2" s="3"/>
      <c r="Y2" s="3"/>
    </row>
    <row r="3" spans="1:25" x14ac:dyDescent="0.25">
      <c r="A3" s="1"/>
      <c r="B3" s="5"/>
      <c r="C3" s="6"/>
      <c r="D3" s="5" t="s">
        <v>2</v>
      </c>
      <c r="E3" s="3"/>
      <c r="F3" s="7" t="s">
        <v>3</v>
      </c>
      <c r="G3" s="8">
        <v>3.5000000000000003E-2</v>
      </c>
      <c r="H3" s="3"/>
      <c r="I3" s="3"/>
      <c r="J3" s="3"/>
      <c r="K3" s="3"/>
      <c r="L3" s="3"/>
      <c r="M3" s="3"/>
      <c r="N3" s="3"/>
      <c r="O3" s="3"/>
      <c r="P3" s="3"/>
      <c r="Q3" s="3"/>
      <c r="R3" s="3"/>
      <c r="S3" s="3"/>
      <c r="T3" s="2"/>
      <c r="U3" s="2"/>
      <c r="V3" s="2"/>
      <c r="W3" s="3"/>
      <c r="X3" s="3"/>
      <c r="Y3" s="3"/>
    </row>
    <row r="4" spans="1:25" x14ac:dyDescent="0.25">
      <c r="A4" s="1"/>
      <c r="B4" s="5"/>
      <c r="C4" s="9"/>
      <c r="D4" s="5" t="s">
        <v>4</v>
      </c>
      <c r="E4" s="3"/>
      <c r="F4" s="1"/>
      <c r="G4" s="1"/>
      <c r="H4" s="3"/>
      <c r="I4" s="3"/>
      <c r="J4" s="3"/>
      <c r="K4" s="3"/>
      <c r="L4" s="3"/>
      <c r="M4" s="3"/>
      <c r="N4" s="3"/>
      <c r="O4" s="3"/>
      <c r="P4" s="3"/>
      <c r="Q4" s="3"/>
      <c r="R4" s="3"/>
      <c r="S4" s="3"/>
      <c r="T4" s="2"/>
      <c r="U4" s="2"/>
      <c r="V4" s="2"/>
      <c r="W4" s="3"/>
      <c r="X4" s="3"/>
      <c r="Y4" s="3"/>
    </row>
    <row r="5" spans="1:25" x14ac:dyDescent="0.25">
      <c r="A5" s="1"/>
      <c r="B5" s="5"/>
      <c r="C5" s="10"/>
      <c r="D5" s="5" t="s">
        <v>5</v>
      </c>
      <c r="E5" s="1"/>
      <c r="F5" s="3"/>
      <c r="G5" s="3"/>
      <c r="H5" s="1"/>
      <c r="I5" s="1"/>
      <c r="J5" s="1"/>
      <c r="K5" s="1"/>
      <c r="L5" s="1"/>
      <c r="M5" s="1"/>
      <c r="N5" s="1"/>
      <c r="O5" s="1"/>
      <c r="P5" s="1"/>
      <c r="Q5" s="1"/>
      <c r="R5" s="1"/>
      <c r="S5" s="1"/>
      <c r="T5" s="2"/>
      <c r="U5" s="2"/>
      <c r="V5" s="2"/>
      <c r="W5" s="3"/>
      <c r="X5" s="3"/>
      <c r="Y5" s="3"/>
    </row>
    <row r="6" spans="1:25" x14ac:dyDescent="0.25">
      <c r="A6" s="1"/>
      <c r="B6" s="5"/>
      <c r="C6" s="1"/>
      <c r="D6" s="1"/>
      <c r="E6" s="1"/>
      <c r="F6" s="11"/>
      <c r="G6" s="5"/>
      <c r="H6" s="1"/>
      <c r="I6" s="1"/>
      <c r="J6" s="1"/>
      <c r="K6" s="1"/>
      <c r="L6" s="1"/>
      <c r="M6" s="1"/>
      <c r="N6" s="1"/>
      <c r="O6" s="1"/>
      <c r="P6" s="1"/>
      <c r="Q6" s="1"/>
      <c r="R6" s="1"/>
      <c r="S6" s="1"/>
      <c r="T6" s="2"/>
      <c r="U6" s="2"/>
      <c r="V6" s="2"/>
      <c r="W6" s="3"/>
      <c r="X6" s="3"/>
      <c r="Y6" s="3"/>
    </row>
    <row r="7" spans="1:25" ht="15.75" x14ac:dyDescent="0.25">
      <c r="A7" s="182" t="s">
        <v>6</v>
      </c>
      <c r="B7" s="183"/>
      <c r="C7" s="183"/>
      <c r="D7" s="184"/>
      <c r="E7" s="1"/>
      <c r="F7" s="176"/>
      <c r="G7" s="176"/>
      <c r="H7" s="2"/>
      <c r="I7" s="3"/>
      <c r="J7" s="3"/>
      <c r="K7" s="3"/>
      <c r="L7" s="3"/>
      <c r="M7" s="3"/>
      <c r="N7" s="3"/>
      <c r="O7" s="3"/>
      <c r="P7" s="3"/>
      <c r="Q7" s="3"/>
      <c r="R7" s="3"/>
      <c r="S7" s="3"/>
      <c r="T7" s="3"/>
      <c r="U7" s="3"/>
      <c r="V7" s="3"/>
      <c r="W7" s="3"/>
      <c r="X7" s="3"/>
      <c r="Y7" s="3"/>
    </row>
    <row r="8" spans="1:25" ht="30" x14ac:dyDescent="0.25">
      <c r="A8" s="12" t="s">
        <v>325</v>
      </c>
      <c r="B8" s="13"/>
      <c r="C8" s="14" t="s">
        <v>8</v>
      </c>
      <c r="D8" s="15" t="s">
        <v>9</v>
      </c>
      <c r="E8" s="16"/>
      <c r="F8" s="105" t="s">
        <v>104</v>
      </c>
      <c r="G8" s="17" t="s">
        <v>10</v>
      </c>
      <c r="H8" s="16"/>
      <c r="I8" s="18"/>
      <c r="J8" s="18"/>
      <c r="K8" s="18"/>
      <c r="L8" s="18"/>
      <c r="M8" s="18"/>
      <c r="N8" s="18"/>
      <c r="O8" s="18"/>
      <c r="P8" s="18"/>
      <c r="Q8" s="18"/>
      <c r="R8" s="18"/>
      <c r="S8" s="18"/>
      <c r="T8" s="18"/>
      <c r="U8" s="18"/>
      <c r="V8" s="18"/>
      <c r="W8" s="18"/>
      <c r="X8" s="18"/>
      <c r="Y8" s="18"/>
    </row>
    <row r="9" spans="1:25" x14ac:dyDescent="0.25">
      <c r="A9" s="19" t="s">
        <v>11</v>
      </c>
      <c r="B9" s="172" t="s">
        <v>12</v>
      </c>
      <c r="C9" s="173"/>
      <c r="D9" s="174"/>
      <c r="E9" s="2"/>
      <c r="F9" s="20"/>
      <c r="G9" s="21" t="s">
        <v>13</v>
      </c>
      <c r="H9" s="2"/>
      <c r="I9" s="3"/>
      <c r="J9" s="3"/>
      <c r="K9" s="3"/>
      <c r="L9" s="3"/>
      <c r="M9" s="3"/>
      <c r="N9" s="3"/>
      <c r="O9" s="3"/>
      <c r="P9" s="3"/>
      <c r="Q9" s="3"/>
      <c r="R9" s="3"/>
      <c r="S9" s="3"/>
      <c r="T9" s="3"/>
      <c r="U9" s="3"/>
      <c r="V9" s="3"/>
      <c r="W9" s="3"/>
      <c r="X9" s="3"/>
      <c r="Y9" s="3"/>
    </row>
    <row r="10" spans="1:25" ht="25.5" x14ac:dyDescent="0.25">
      <c r="A10" s="22">
        <v>1</v>
      </c>
      <c r="B10" s="23" t="s">
        <v>14</v>
      </c>
      <c r="C10" s="24">
        <f>57800000</f>
        <v>57800000</v>
      </c>
      <c r="D10" s="23" t="s">
        <v>95</v>
      </c>
      <c r="E10" s="2"/>
      <c r="F10" s="25">
        <v>0.1</v>
      </c>
      <c r="G10" s="26">
        <f>C10*(1-F10)^5</f>
        <v>34130322.000000007</v>
      </c>
      <c r="H10" s="2"/>
      <c r="I10" s="3"/>
      <c r="J10" s="3"/>
      <c r="K10" s="3"/>
      <c r="L10" s="3"/>
      <c r="M10" s="3"/>
      <c r="N10" s="3"/>
      <c r="O10" s="3"/>
      <c r="P10" s="3"/>
      <c r="Q10" s="3"/>
      <c r="R10" s="3"/>
      <c r="S10" s="3"/>
      <c r="T10" s="3"/>
      <c r="U10" s="3"/>
      <c r="V10" s="3"/>
      <c r="W10" s="3"/>
      <c r="X10" s="3"/>
      <c r="Y10" s="3"/>
    </row>
    <row r="11" spans="1:25" ht="89.25" x14ac:dyDescent="0.25">
      <c r="A11" s="27">
        <v>2</v>
      </c>
      <c r="B11" s="23" t="s">
        <v>15</v>
      </c>
      <c r="C11" s="24">
        <f>(5780000+1800000+10000000+2000000+7730000+2000000)</f>
        <v>29310000</v>
      </c>
      <c r="D11" s="23" t="s">
        <v>352</v>
      </c>
      <c r="E11" s="2"/>
      <c r="F11" s="25">
        <v>0.05</v>
      </c>
      <c r="G11" s="26">
        <f>C11*(1-F11)^5</f>
        <v>22679519.278124999</v>
      </c>
      <c r="H11" s="2"/>
      <c r="I11" s="3"/>
      <c r="J11" s="3"/>
      <c r="K11" s="3"/>
      <c r="L11" s="3"/>
      <c r="M11" s="3"/>
      <c r="N11" s="3"/>
      <c r="O11" s="3"/>
      <c r="P11" s="3"/>
      <c r="Q11" s="3"/>
      <c r="R11" s="3"/>
      <c r="S11" s="3"/>
      <c r="T11" s="3"/>
      <c r="U11" s="3"/>
      <c r="V11" s="3"/>
      <c r="W11" s="3"/>
      <c r="X11" s="3"/>
      <c r="Y11" s="3"/>
    </row>
    <row r="12" spans="1:25" ht="89.25" x14ac:dyDescent="0.25">
      <c r="A12" s="27">
        <v>3</v>
      </c>
      <c r="B12" s="23" t="s">
        <v>13</v>
      </c>
      <c r="C12" s="24">
        <f>(11613445+2600000+250000+1200000+4000000+7000000+3000000)</f>
        <v>29663445</v>
      </c>
      <c r="D12" s="23" t="s">
        <v>16</v>
      </c>
      <c r="E12" s="28"/>
      <c r="F12" s="25">
        <v>0.2</v>
      </c>
      <c r="G12" s="26">
        <f>C12*(1-F12)^5</f>
        <v>9720117.6576000061</v>
      </c>
      <c r="H12" s="2"/>
      <c r="I12" s="3"/>
      <c r="J12" s="3"/>
      <c r="K12" s="3"/>
      <c r="L12" s="3"/>
      <c r="M12" s="3"/>
      <c r="N12" s="3"/>
      <c r="O12" s="3"/>
      <c r="P12" s="3"/>
      <c r="Q12" s="3"/>
      <c r="R12" s="3"/>
      <c r="S12" s="3"/>
      <c r="T12" s="3"/>
      <c r="U12" s="3"/>
      <c r="V12" s="3"/>
      <c r="W12" s="3"/>
      <c r="X12" s="3"/>
      <c r="Y12" s="3"/>
    </row>
    <row r="13" spans="1:25" ht="76.5" x14ac:dyDescent="0.25">
      <c r="A13" s="27">
        <v>4</v>
      </c>
      <c r="B13" s="23" t="s">
        <v>17</v>
      </c>
      <c r="C13" s="24">
        <f>(65000000+73826555+2000000)</f>
        <v>140826555</v>
      </c>
      <c r="D13" s="23" t="s">
        <v>353</v>
      </c>
      <c r="E13" s="2"/>
      <c r="F13" s="25">
        <v>0.2</v>
      </c>
      <c r="G13" s="26">
        <f>C13*(1-F13)^5</f>
        <v>46146045.542400025</v>
      </c>
      <c r="H13" s="2"/>
      <c r="I13" s="3"/>
      <c r="J13" s="3"/>
      <c r="K13" s="3"/>
      <c r="L13" s="3"/>
      <c r="M13" s="3"/>
      <c r="N13" s="3"/>
      <c r="O13" s="3"/>
      <c r="P13" s="3"/>
      <c r="Q13" s="3"/>
      <c r="R13" s="3"/>
      <c r="S13" s="3"/>
      <c r="T13" s="3"/>
      <c r="U13" s="3"/>
      <c r="V13" s="3"/>
      <c r="W13" s="3"/>
      <c r="X13" s="3"/>
      <c r="Y13" s="3"/>
    </row>
    <row r="14" spans="1:25" x14ac:dyDescent="0.25">
      <c r="A14" s="29"/>
      <c r="B14" s="30"/>
      <c r="C14" s="31">
        <f>SUM(C10:C13)</f>
        <v>257600000</v>
      </c>
      <c r="D14" s="32"/>
      <c r="E14" s="2"/>
      <c r="F14" s="33"/>
      <c r="G14" s="34" t="s">
        <v>18</v>
      </c>
      <c r="H14" s="2"/>
      <c r="I14" s="3"/>
      <c r="J14" s="3"/>
      <c r="K14" s="3"/>
      <c r="L14" s="3"/>
      <c r="M14" s="3"/>
      <c r="N14" s="3"/>
      <c r="O14" s="3"/>
      <c r="P14" s="3"/>
      <c r="Q14" s="3"/>
      <c r="R14" s="3"/>
      <c r="S14" s="3"/>
      <c r="T14" s="3"/>
      <c r="U14" s="3"/>
      <c r="V14" s="3"/>
      <c r="W14" s="3"/>
      <c r="X14" s="3"/>
      <c r="Y14" s="3"/>
    </row>
    <row r="15" spans="1:25" x14ac:dyDescent="0.25">
      <c r="A15" s="19" t="s">
        <v>11</v>
      </c>
      <c r="B15" s="177" t="s">
        <v>326</v>
      </c>
      <c r="C15" s="177"/>
      <c r="D15" s="177"/>
      <c r="E15" s="2"/>
      <c r="F15" s="20"/>
      <c r="G15" s="35"/>
      <c r="H15" s="2"/>
      <c r="I15" s="3"/>
      <c r="J15" s="3"/>
      <c r="K15" s="3"/>
      <c r="L15" s="3"/>
      <c r="M15" s="3"/>
      <c r="N15" s="3"/>
      <c r="O15" s="3"/>
      <c r="P15" s="3"/>
      <c r="Q15" s="3"/>
      <c r="R15" s="3"/>
      <c r="S15" s="3"/>
      <c r="T15" s="3"/>
      <c r="U15" s="3"/>
      <c r="V15" s="3"/>
      <c r="W15" s="3"/>
      <c r="X15" s="3"/>
      <c r="Y15" s="3"/>
    </row>
    <row r="16" spans="1:25" ht="76.5" x14ac:dyDescent="0.25">
      <c r="A16" s="22">
        <v>1</v>
      </c>
      <c r="B16" s="23" t="s">
        <v>20</v>
      </c>
      <c r="C16" s="24">
        <f>(5000000+12000000+3600000+14000000)*1</f>
        <v>34600000</v>
      </c>
      <c r="D16" s="23" t="s">
        <v>21</v>
      </c>
      <c r="E16" s="2"/>
      <c r="F16" s="33"/>
      <c r="G16" s="34" t="s">
        <v>18</v>
      </c>
      <c r="H16" s="2"/>
      <c r="I16" s="3"/>
      <c r="J16" s="3"/>
      <c r="K16" s="3"/>
      <c r="L16" s="3"/>
      <c r="M16" s="3"/>
      <c r="N16" s="3"/>
      <c r="O16" s="3"/>
      <c r="P16" s="3"/>
      <c r="Q16" s="3"/>
      <c r="R16" s="3"/>
      <c r="S16" s="3"/>
      <c r="T16" s="3"/>
      <c r="U16" s="3"/>
      <c r="V16" s="3"/>
      <c r="W16" s="3"/>
      <c r="X16" s="3"/>
      <c r="Y16" s="3"/>
    </row>
    <row r="17" spans="1:25" x14ac:dyDescent="0.25">
      <c r="A17" s="22">
        <v>2</v>
      </c>
      <c r="B17" s="36"/>
      <c r="C17" s="37">
        <f>SUM(C16)</f>
        <v>34600000</v>
      </c>
      <c r="D17" s="38"/>
      <c r="E17" s="39"/>
      <c r="F17" s="33"/>
      <c r="G17" s="34" t="s">
        <v>18</v>
      </c>
      <c r="H17" s="2"/>
      <c r="I17" s="3"/>
      <c r="J17" s="3"/>
      <c r="K17" s="3"/>
      <c r="L17" s="3"/>
      <c r="M17" s="3"/>
      <c r="N17" s="3"/>
      <c r="O17" s="3"/>
      <c r="P17" s="3"/>
      <c r="Q17" s="3"/>
      <c r="R17" s="3"/>
      <c r="S17" s="3"/>
      <c r="T17" s="3"/>
      <c r="U17" s="3"/>
      <c r="V17" s="3"/>
      <c r="W17" s="3"/>
      <c r="X17" s="3"/>
      <c r="Y17" s="3"/>
    </row>
    <row r="18" spans="1:25" x14ac:dyDescent="0.25">
      <c r="A18" s="19" t="s">
        <v>11</v>
      </c>
      <c r="B18" s="172" t="s">
        <v>22</v>
      </c>
      <c r="C18" s="173"/>
      <c r="D18" s="174"/>
      <c r="E18" s="2"/>
      <c r="F18" s="20"/>
      <c r="G18" s="35"/>
      <c r="H18" s="2"/>
      <c r="I18" s="3"/>
      <c r="J18" s="3"/>
      <c r="K18" s="3"/>
      <c r="L18" s="3"/>
      <c r="M18" s="3"/>
      <c r="N18" s="3"/>
      <c r="O18" s="3"/>
      <c r="P18" s="3"/>
      <c r="Q18" s="3"/>
      <c r="R18" s="3"/>
      <c r="S18" s="3"/>
      <c r="T18" s="3"/>
      <c r="U18" s="3"/>
      <c r="V18" s="3"/>
      <c r="W18" s="3"/>
      <c r="X18" s="3"/>
      <c r="Y18" s="3"/>
    </row>
    <row r="19" spans="1:25" x14ac:dyDescent="0.25">
      <c r="A19" s="22">
        <v>1</v>
      </c>
      <c r="B19" s="23" t="s">
        <v>23</v>
      </c>
      <c r="C19" s="24">
        <v>0</v>
      </c>
      <c r="D19" s="40" t="s">
        <v>18</v>
      </c>
      <c r="E19" s="2"/>
      <c r="F19" s="33"/>
      <c r="G19" s="34" t="s">
        <v>18</v>
      </c>
      <c r="H19" s="2"/>
      <c r="I19" s="3"/>
      <c r="J19" s="3"/>
      <c r="K19" s="3"/>
      <c r="L19" s="3"/>
      <c r="M19" s="3"/>
      <c r="N19" s="3"/>
      <c r="O19" s="3"/>
      <c r="P19" s="3"/>
      <c r="Q19" s="3"/>
      <c r="R19" s="3"/>
      <c r="S19" s="3"/>
      <c r="T19" s="3"/>
      <c r="U19" s="3"/>
      <c r="V19" s="3"/>
      <c r="W19" s="3"/>
      <c r="X19" s="3"/>
      <c r="Y19" s="3"/>
    </row>
    <row r="20" spans="1:25" ht="25.5" x14ac:dyDescent="0.25">
      <c r="A20" s="22">
        <v>2</v>
      </c>
      <c r="B20" s="23" t="s">
        <v>24</v>
      </c>
      <c r="C20" s="24">
        <v>1800000</v>
      </c>
      <c r="D20" s="40" t="s">
        <v>25</v>
      </c>
      <c r="E20" s="2"/>
      <c r="F20" s="33"/>
      <c r="G20" s="34" t="s">
        <v>18</v>
      </c>
      <c r="H20" s="2"/>
      <c r="I20" s="3"/>
      <c r="J20" s="3"/>
      <c r="K20" s="3"/>
      <c r="L20" s="3"/>
      <c r="M20" s="3"/>
      <c r="N20" s="3"/>
      <c r="O20" s="3"/>
      <c r="P20" s="3"/>
      <c r="Q20" s="3"/>
      <c r="R20" s="3"/>
      <c r="S20" s="3"/>
      <c r="T20" s="3"/>
      <c r="U20" s="3"/>
      <c r="V20" s="3"/>
      <c r="W20" s="3"/>
      <c r="X20" s="3"/>
      <c r="Y20" s="3"/>
    </row>
    <row r="21" spans="1:25" x14ac:dyDescent="0.25">
      <c r="A21" s="165"/>
      <c r="B21" s="166"/>
      <c r="C21" s="41">
        <f>SUM(C19:C20)</f>
        <v>1800000</v>
      </c>
      <c r="D21" s="3"/>
      <c r="E21" s="42"/>
      <c r="F21" s="33"/>
      <c r="G21" s="43">
        <f>SUM(G10:G20)</f>
        <v>112676004.47812504</v>
      </c>
      <c r="H21" s="3"/>
      <c r="I21" s="2"/>
      <c r="J21" s="2"/>
      <c r="K21" s="2"/>
      <c r="L21" s="2"/>
      <c r="M21" s="2"/>
      <c r="N21" s="2"/>
      <c r="O21" s="2"/>
      <c r="P21" s="2"/>
      <c r="Q21" s="2"/>
      <c r="R21" s="2"/>
      <c r="S21" s="2"/>
      <c r="T21" s="3"/>
      <c r="U21" s="3"/>
      <c r="V21" s="3"/>
      <c r="W21" s="3"/>
      <c r="X21" s="3"/>
      <c r="Y21" s="3"/>
    </row>
    <row r="22" spans="1:25" x14ac:dyDescent="0.25">
      <c r="A22" s="44"/>
      <c r="B22" s="45" t="s">
        <v>26</v>
      </c>
      <c r="C22" s="46">
        <f>SUM(C14+C17+C21)</f>
        <v>294000000</v>
      </c>
      <c r="D22" s="3"/>
      <c r="E22" s="3"/>
      <c r="F22" s="3"/>
      <c r="G22" s="2"/>
      <c r="H22" s="2"/>
      <c r="I22" s="2"/>
      <c r="J22" s="2"/>
      <c r="K22" s="2"/>
      <c r="L22" s="2"/>
      <c r="M22" s="2"/>
      <c r="N22" s="2"/>
      <c r="O22" s="2"/>
      <c r="P22" s="2"/>
      <c r="Q22" s="2"/>
      <c r="R22" s="2"/>
      <c r="S22" s="2"/>
      <c r="T22" s="2"/>
      <c r="U22" s="2"/>
      <c r="V22" s="3"/>
      <c r="W22" s="3"/>
      <c r="X22" s="3"/>
      <c r="Y22" s="3"/>
    </row>
    <row r="23" spans="1:25" x14ac:dyDescent="0.25">
      <c r="A23" s="47"/>
      <c r="B23" s="48"/>
      <c r="C23" s="42"/>
      <c r="D23" s="49"/>
      <c r="E23" s="50"/>
      <c r="F23" s="50"/>
      <c r="G23" s="51"/>
      <c r="H23" s="52"/>
      <c r="I23" s="2"/>
      <c r="J23" s="2"/>
      <c r="K23" s="2"/>
      <c r="L23" s="2"/>
      <c r="M23" s="2"/>
      <c r="N23" s="2"/>
      <c r="O23" s="2"/>
      <c r="P23" s="2"/>
      <c r="Q23" s="2"/>
      <c r="R23" s="2"/>
      <c r="S23" s="2"/>
      <c r="T23" s="2"/>
      <c r="U23" s="2"/>
      <c r="V23" s="2"/>
      <c r="W23" s="3"/>
      <c r="X23" s="3"/>
      <c r="Y23" s="3"/>
    </row>
    <row r="24" spans="1:25" x14ac:dyDescent="0.25">
      <c r="A24" s="1"/>
      <c r="B24" s="48"/>
      <c r="C24" s="1"/>
      <c r="D24" s="1"/>
      <c r="E24" s="1"/>
      <c r="F24" s="1"/>
      <c r="G24" s="1"/>
      <c r="H24" s="2"/>
      <c r="I24" s="1"/>
      <c r="J24" s="1"/>
      <c r="K24" s="1"/>
      <c r="L24" s="1"/>
      <c r="M24" s="1"/>
      <c r="N24" s="1"/>
      <c r="O24" s="1"/>
      <c r="P24" s="1"/>
      <c r="Q24" s="1"/>
      <c r="R24" s="1"/>
      <c r="S24" s="1"/>
      <c r="T24" s="2"/>
      <c r="U24" s="2"/>
      <c r="V24" s="2"/>
      <c r="W24" s="3"/>
      <c r="X24" s="3"/>
      <c r="Y24" s="3"/>
    </row>
    <row r="25" spans="1:25" ht="15.75" x14ac:dyDescent="0.25">
      <c r="A25" s="182" t="s">
        <v>27</v>
      </c>
      <c r="B25" s="183"/>
      <c r="C25" s="183"/>
      <c r="D25" s="183"/>
      <c r="E25" s="183"/>
      <c r="F25" s="183"/>
      <c r="G25" s="183"/>
      <c r="H25" s="183"/>
      <c r="I25" s="184"/>
      <c r="J25" s="53"/>
      <c r="K25" s="53"/>
      <c r="L25" s="53"/>
      <c r="M25" s="53"/>
      <c r="N25" s="53"/>
      <c r="O25" s="53"/>
      <c r="P25" s="53"/>
      <c r="Q25" s="53"/>
      <c r="R25" s="53"/>
      <c r="S25" s="53"/>
      <c r="T25" s="54"/>
      <c r="U25" s="54"/>
      <c r="V25" s="54"/>
      <c r="W25" s="54"/>
      <c r="X25" s="54"/>
      <c r="Y25" s="3"/>
    </row>
    <row r="26" spans="1:25" x14ac:dyDescent="0.25">
      <c r="A26" s="167" t="s">
        <v>11</v>
      </c>
      <c r="B26" s="167" t="s">
        <v>28</v>
      </c>
      <c r="C26" s="167" t="s">
        <v>29</v>
      </c>
      <c r="D26" s="167" t="s">
        <v>30</v>
      </c>
      <c r="E26" s="55" t="s">
        <v>31</v>
      </c>
      <c r="F26" s="56" t="s">
        <v>32</v>
      </c>
      <c r="G26" s="56" t="s">
        <v>33</v>
      </c>
      <c r="H26" s="56" t="s">
        <v>34</v>
      </c>
      <c r="I26" s="56" t="s">
        <v>35</v>
      </c>
      <c r="J26" s="56" t="s">
        <v>36</v>
      </c>
      <c r="K26" s="56" t="s">
        <v>37</v>
      </c>
      <c r="L26" s="56" t="s">
        <v>38</v>
      </c>
      <c r="M26" s="56" t="s">
        <v>96</v>
      </c>
      <c r="N26" s="56" t="s">
        <v>97</v>
      </c>
      <c r="O26" s="56" t="s">
        <v>98</v>
      </c>
      <c r="P26" s="56" t="s">
        <v>99</v>
      </c>
      <c r="Q26" s="56" t="s">
        <v>100</v>
      </c>
      <c r="R26" s="56" t="s">
        <v>101</v>
      </c>
      <c r="S26" s="56" t="s">
        <v>102</v>
      </c>
      <c r="T26" s="11"/>
      <c r="U26" s="3"/>
      <c r="V26" s="3"/>
      <c r="W26" s="2"/>
      <c r="X26" s="2"/>
      <c r="Y26" s="3"/>
    </row>
    <row r="27" spans="1:25" x14ac:dyDescent="0.25">
      <c r="A27" s="168"/>
      <c r="B27" s="168"/>
      <c r="C27" s="168"/>
      <c r="D27" s="168"/>
      <c r="E27" s="169" t="s">
        <v>39</v>
      </c>
      <c r="F27" s="170"/>
      <c r="G27" s="170"/>
      <c r="H27" s="170"/>
      <c r="I27" s="171"/>
      <c r="J27" s="57"/>
      <c r="K27" s="57"/>
      <c r="L27" s="57"/>
      <c r="M27" s="57"/>
      <c r="N27" s="57"/>
      <c r="O27" s="57"/>
      <c r="P27" s="57"/>
      <c r="Q27" s="57"/>
      <c r="R27" s="57"/>
      <c r="S27" s="57"/>
      <c r="T27" s="58"/>
      <c r="U27" s="2"/>
      <c r="V27" s="2"/>
      <c r="W27" s="3"/>
      <c r="X27" s="3"/>
      <c r="Y27" s="3"/>
    </row>
    <row r="28" spans="1:25" x14ac:dyDescent="0.25">
      <c r="A28" s="59">
        <v>1</v>
      </c>
      <c r="B28" s="60" t="s">
        <v>40</v>
      </c>
      <c r="C28" s="10">
        <f>2000</f>
        <v>2000</v>
      </c>
      <c r="D28" s="61">
        <f>8000*1.1625</f>
        <v>9300</v>
      </c>
      <c r="E28" s="62">
        <v>0</v>
      </c>
      <c r="F28" s="63">
        <f>($D28*(1+$G$3))*$C28</f>
        <v>19251000</v>
      </c>
      <c r="G28" s="63">
        <f t="shared" ref="G28:J29" si="0">(F28*(1+$G$3))</f>
        <v>19924785</v>
      </c>
      <c r="H28" s="63">
        <f t="shared" si="0"/>
        <v>20622152.474999998</v>
      </c>
      <c r="I28" s="63">
        <f t="shared" si="0"/>
        <v>21343927.811624996</v>
      </c>
      <c r="J28" s="63">
        <f t="shared" si="0"/>
        <v>22090965.28503187</v>
      </c>
      <c r="K28" s="63">
        <f>(J28*(1+$G$3))</f>
        <v>22864149.070007984</v>
      </c>
      <c r="L28" s="63">
        <f t="shared" ref="L28:S29" si="1">(K28*(1+$G$3))</f>
        <v>23664394.28745826</v>
      </c>
      <c r="M28" s="63">
        <f t="shared" si="1"/>
        <v>24492648.087519296</v>
      </c>
      <c r="N28" s="63">
        <f t="shared" si="1"/>
        <v>25349890.770582467</v>
      </c>
      <c r="O28" s="63">
        <f t="shared" si="1"/>
        <v>26237136.947552852</v>
      </c>
      <c r="P28" s="63">
        <f t="shared" si="1"/>
        <v>27155436.740717199</v>
      </c>
      <c r="Q28" s="63">
        <f t="shared" si="1"/>
        <v>28105877.0266423</v>
      </c>
      <c r="R28" s="63">
        <f t="shared" si="1"/>
        <v>29089582.722574778</v>
      </c>
      <c r="S28" s="63">
        <f t="shared" si="1"/>
        <v>30107718.117864892</v>
      </c>
      <c r="T28" s="154"/>
      <c r="U28" s="155"/>
      <c r="V28" s="155"/>
      <c r="W28" s="155"/>
      <c r="X28" s="155"/>
      <c r="Y28" s="155"/>
    </row>
    <row r="29" spans="1:25" x14ac:dyDescent="0.25">
      <c r="A29" s="59">
        <v>2</v>
      </c>
      <c r="B29" s="60" t="s">
        <v>42</v>
      </c>
      <c r="C29" s="10">
        <f>5990</f>
        <v>5990</v>
      </c>
      <c r="D29" s="61">
        <f>6500*1.2</f>
        <v>7800</v>
      </c>
      <c r="E29" s="62">
        <v>0</v>
      </c>
      <c r="F29" s="63">
        <f>($D29*(1+$G$3))*$C29</f>
        <v>48357269.999999993</v>
      </c>
      <c r="G29" s="63">
        <f t="shared" si="0"/>
        <v>50049774.449999988</v>
      </c>
      <c r="H29" s="63">
        <f t="shared" si="0"/>
        <v>51801516.555749983</v>
      </c>
      <c r="I29" s="63">
        <f t="shared" si="0"/>
        <v>53614569.635201231</v>
      </c>
      <c r="J29" s="63">
        <f t="shared" si="0"/>
        <v>55491079.572433271</v>
      </c>
      <c r="K29" s="63">
        <f>(J29*(1+$G$3))</f>
        <v>57433267.357468434</v>
      </c>
      <c r="L29" s="63">
        <f t="shared" si="1"/>
        <v>59443431.714979827</v>
      </c>
      <c r="M29" s="63">
        <f t="shared" si="1"/>
        <v>61523951.825004116</v>
      </c>
      <c r="N29" s="63">
        <f t="shared" si="1"/>
        <v>63677290.138879254</v>
      </c>
      <c r="O29" s="63">
        <f t="shared" si="1"/>
        <v>65905995.293740027</v>
      </c>
      <c r="P29" s="63">
        <f t="shared" si="1"/>
        <v>68212705.129020929</v>
      </c>
      <c r="Q29" s="63">
        <f t="shared" si="1"/>
        <v>70600149.808536664</v>
      </c>
      <c r="R29" s="63">
        <f t="shared" si="1"/>
        <v>73071155.051835448</v>
      </c>
      <c r="S29" s="63">
        <f t="shared" si="1"/>
        <v>75628645.478649676</v>
      </c>
      <c r="T29" s="64"/>
      <c r="U29" s="65"/>
      <c r="V29" s="65"/>
      <c r="W29" s="65"/>
      <c r="X29" s="65"/>
      <c r="Y29" s="65"/>
    </row>
    <row r="30" spans="1:25" x14ac:dyDescent="0.25">
      <c r="A30" s="5"/>
      <c r="B30" s="156" t="s">
        <v>43</v>
      </c>
      <c r="C30" s="157"/>
      <c r="D30" s="158"/>
      <c r="E30" s="46">
        <f>SUM(E28:E29)</f>
        <v>0</v>
      </c>
      <c r="F30" s="46">
        <f>SUM(F28:F29)</f>
        <v>67608270</v>
      </c>
      <c r="G30" s="46">
        <f>SUM(G28:G29)</f>
        <v>69974559.449999988</v>
      </c>
      <c r="H30" s="46">
        <f>SUM(H28:H29)</f>
        <v>72423669.030749977</v>
      </c>
      <c r="I30" s="46">
        <f>SUM(I28:I29)</f>
        <v>74958497.44682622</v>
      </c>
      <c r="J30" s="46">
        <f t="shared" ref="J30:S30" si="2">SUM(J28:J29)</f>
        <v>77582044.857465148</v>
      </c>
      <c r="K30" s="46">
        <f t="shared" si="2"/>
        <v>80297416.427476421</v>
      </c>
      <c r="L30" s="46">
        <f t="shared" si="2"/>
        <v>83107826.002438083</v>
      </c>
      <c r="M30" s="46">
        <f t="shared" si="2"/>
        <v>86016599.912523419</v>
      </c>
      <c r="N30" s="46">
        <f t="shared" si="2"/>
        <v>89027180.909461722</v>
      </c>
      <c r="O30" s="46">
        <f t="shared" si="2"/>
        <v>92143132.241292879</v>
      </c>
      <c r="P30" s="46">
        <f t="shared" si="2"/>
        <v>95368141.869738132</v>
      </c>
      <c r="Q30" s="46">
        <f t="shared" si="2"/>
        <v>98706026.835178971</v>
      </c>
      <c r="R30" s="46">
        <f t="shared" si="2"/>
        <v>102160737.77441022</v>
      </c>
      <c r="S30" s="46">
        <f t="shared" si="2"/>
        <v>105736363.59651457</v>
      </c>
      <c r="T30" s="66"/>
      <c r="U30" s="2"/>
      <c r="V30" s="2"/>
      <c r="W30" s="3"/>
      <c r="X30" s="3"/>
      <c r="Y30" s="3"/>
    </row>
    <row r="31" spans="1:25" x14ac:dyDescent="0.25">
      <c r="A31" s="2"/>
      <c r="B31" s="48"/>
      <c r="C31" s="67"/>
      <c r="D31" s="68"/>
      <c r="E31" s="68"/>
      <c r="F31" s="68"/>
      <c r="G31" s="68"/>
      <c r="H31" s="68"/>
      <c r="I31" s="1"/>
      <c r="J31" s="1"/>
      <c r="K31" s="1"/>
      <c r="L31" s="1"/>
      <c r="M31" s="1"/>
      <c r="N31" s="1"/>
      <c r="O31" s="1"/>
      <c r="P31" s="1"/>
      <c r="Q31" s="1"/>
      <c r="R31" s="1"/>
      <c r="S31" s="1"/>
      <c r="T31" s="11"/>
      <c r="U31" s="66"/>
      <c r="V31" s="66"/>
      <c r="W31" s="2"/>
      <c r="X31" s="2"/>
      <c r="Y31" s="3"/>
    </row>
    <row r="32" spans="1:25" x14ac:dyDescent="0.25">
      <c r="A32" s="2"/>
      <c r="B32" s="69"/>
      <c r="C32" s="67"/>
      <c r="D32" s="68"/>
      <c r="E32" s="68"/>
      <c r="F32" s="68"/>
      <c r="G32" s="68"/>
      <c r="H32" s="68"/>
      <c r="I32" s="1"/>
      <c r="J32" s="1"/>
      <c r="K32" s="1"/>
      <c r="L32" s="1"/>
      <c r="M32" s="1"/>
      <c r="N32" s="1"/>
      <c r="O32" s="1"/>
      <c r="P32" s="1"/>
      <c r="Q32" s="1"/>
      <c r="R32" s="1"/>
      <c r="S32" s="1"/>
      <c r="T32" s="11"/>
      <c r="U32" s="3"/>
      <c r="V32" s="3"/>
      <c r="W32" s="2"/>
      <c r="X32" s="2"/>
      <c r="Y32" s="3"/>
    </row>
    <row r="33" spans="1:25" ht="15.75" x14ac:dyDescent="0.25">
      <c r="A33" s="189" t="s">
        <v>44</v>
      </c>
      <c r="B33" s="189"/>
      <c r="C33" s="189"/>
      <c r="D33" s="189"/>
      <c r="E33" s="189"/>
      <c r="F33" s="189"/>
      <c r="G33" s="189"/>
      <c r="H33" s="189"/>
      <c r="I33" s="189"/>
      <c r="J33" s="189"/>
      <c r="K33" s="189"/>
      <c r="L33" s="189"/>
      <c r="M33" s="189"/>
      <c r="N33" s="189"/>
      <c r="O33" s="189"/>
      <c r="P33" s="189"/>
      <c r="Q33" s="189"/>
      <c r="R33" s="189"/>
      <c r="S33" s="189"/>
      <c r="T33" s="189"/>
      <c r="U33" s="54"/>
      <c r="V33" s="54"/>
      <c r="W33" s="54"/>
      <c r="X33" s="44"/>
      <c r="Y33" s="3"/>
    </row>
    <row r="34" spans="1:25" x14ac:dyDescent="0.25">
      <c r="A34" s="56" t="s">
        <v>11</v>
      </c>
      <c r="B34" s="70" t="s">
        <v>325</v>
      </c>
      <c r="C34" s="71" t="s">
        <v>29</v>
      </c>
      <c r="D34" s="71" t="s">
        <v>329</v>
      </c>
      <c r="E34" s="55" t="s">
        <v>31</v>
      </c>
      <c r="F34" s="56" t="s">
        <v>32</v>
      </c>
      <c r="G34" s="56" t="s">
        <v>33</v>
      </c>
      <c r="H34" s="56" t="s">
        <v>34</v>
      </c>
      <c r="I34" s="56" t="s">
        <v>35</v>
      </c>
      <c r="J34" s="56" t="s">
        <v>36</v>
      </c>
      <c r="K34" s="56" t="s">
        <v>37</v>
      </c>
      <c r="L34" s="56" t="s">
        <v>38</v>
      </c>
      <c r="M34" s="56" t="s">
        <v>96</v>
      </c>
      <c r="N34" s="56" t="s">
        <v>97</v>
      </c>
      <c r="O34" s="56" t="s">
        <v>98</v>
      </c>
      <c r="P34" s="56" t="s">
        <v>99</v>
      </c>
      <c r="Q34" s="56" t="s">
        <v>100</v>
      </c>
      <c r="R34" s="56" t="s">
        <v>101</v>
      </c>
      <c r="S34" s="56" t="s">
        <v>102</v>
      </c>
      <c r="T34" s="14" t="s">
        <v>9</v>
      </c>
      <c r="U34" s="3"/>
      <c r="V34" s="3"/>
      <c r="W34" s="3"/>
      <c r="X34" s="3"/>
      <c r="Y34" s="3"/>
    </row>
    <row r="35" spans="1:25" ht="15.75" customHeight="1" x14ac:dyDescent="0.25">
      <c r="A35" s="70"/>
      <c r="B35" s="190" t="s">
        <v>47</v>
      </c>
      <c r="C35" s="190"/>
      <c r="D35" s="190"/>
      <c r="E35" s="190"/>
      <c r="F35" s="190"/>
      <c r="G35" s="190"/>
      <c r="H35" s="190"/>
      <c r="I35" s="190"/>
      <c r="J35" s="190"/>
      <c r="K35" s="190"/>
      <c r="L35" s="190"/>
      <c r="M35" s="190"/>
      <c r="N35" s="190"/>
      <c r="O35" s="190"/>
      <c r="P35" s="190"/>
      <c r="Q35" s="190"/>
      <c r="R35" s="190"/>
      <c r="S35" s="190"/>
      <c r="T35" s="190"/>
      <c r="U35" s="3"/>
      <c r="V35" s="3"/>
      <c r="W35" s="3"/>
      <c r="X35" s="3"/>
      <c r="Y35" s="3"/>
    </row>
    <row r="36" spans="1:25" ht="38.25" x14ac:dyDescent="0.25">
      <c r="A36" s="59" t="s">
        <v>48</v>
      </c>
      <c r="B36" s="74" t="s">
        <v>49</v>
      </c>
      <c r="C36" s="9">
        <v>1</v>
      </c>
      <c r="D36" s="24">
        <f>7*500000+1*3600000</f>
        <v>7100000</v>
      </c>
      <c r="E36" s="75">
        <f t="shared" ref="E36:E39" si="3">C36*D36</f>
        <v>7100000</v>
      </c>
      <c r="F36" s="75">
        <f t="shared" ref="F36:J39" si="4">E36*(1+$G$3)</f>
        <v>7348499.9999999991</v>
      </c>
      <c r="G36" s="75">
        <f t="shared" si="4"/>
        <v>7605697.4999999981</v>
      </c>
      <c r="H36" s="75">
        <f t="shared" si="4"/>
        <v>7871896.9124999978</v>
      </c>
      <c r="I36" s="75">
        <f t="shared" si="4"/>
        <v>8147413.3044374967</v>
      </c>
      <c r="J36" s="46">
        <f t="shared" si="4"/>
        <v>8432572.7700928077</v>
      </c>
      <c r="K36" s="75">
        <f>J36*(1+$G$3)</f>
        <v>8727712.8170460556</v>
      </c>
      <c r="L36" s="75">
        <f t="shared" ref="L36:S39" si="5">K36*(1+$G$3)</f>
        <v>9033182.7656426672</v>
      </c>
      <c r="M36" s="75">
        <f t="shared" si="5"/>
        <v>9349344.1624401603</v>
      </c>
      <c r="N36" s="75">
        <f t="shared" si="5"/>
        <v>9676571.2081255652</v>
      </c>
      <c r="O36" s="75">
        <f t="shared" si="5"/>
        <v>10015251.20040996</v>
      </c>
      <c r="P36" s="75">
        <f t="shared" si="5"/>
        <v>10365784.992424307</v>
      </c>
      <c r="Q36" s="75">
        <f t="shared" si="5"/>
        <v>10728587.467159158</v>
      </c>
      <c r="R36" s="75">
        <f t="shared" si="5"/>
        <v>11104088.028509727</v>
      </c>
      <c r="S36" s="75">
        <f t="shared" si="5"/>
        <v>11492731.109507566</v>
      </c>
      <c r="T36" s="76" t="s">
        <v>50</v>
      </c>
      <c r="U36" s="2"/>
      <c r="V36" s="2"/>
      <c r="W36" s="2"/>
      <c r="X36" s="3"/>
      <c r="Y36" s="3"/>
    </row>
    <row r="37" spans="1:25" ht="25.5" x14ac:dyDescent="0.25">
      <c r="A37" s="59" t="s">
        <v>51</v>
      </c>
      <c r="B37" s="74" t="s">
        <v>52</v>
      </c>
      <c r="C37" s="9">
        <v>12</v>
      </c>
      <c r="D37" s="24">
        <v>700000</v>
      </c>
      <c r="E37" s="75">
        <f>D37*C37</f>
        <v>8400000</v>
      </c>
      <c r="F37" s="75">
        <f>E37*(1+$G$3)</f>
        <v>8694000</v>
      </c>
      <c r="G37" s="75">
        <f t="shared" si="4"/>
        <v>8998290</v>
      </c>
      <c r="H37" s="75">
        <f t="shared" si="4"/>
        <v>9313230.1499999985</v>
      </c>
      <c r="I37" s="75">
        <f t="shared" si="4"/>
        <v>9639193.2052499969</v>
      </c>
      <c r="J37" s="75">
        <f t="shared" si="4"/>
        <v>9976564.9674337469</v>
      </c>
      <c r="K37" s="75">
        <f>J37*(1+$G$3)</f>
        <v>10325744.741293928</v>
      </c>
      <c r="L37" s="75">
        <f t="shared" si="5"/>
        <v>10687145.807239214</v>
      </c>
      <c r="M37" s="75">
        <f t="shared" si="5"/>
        <v>11061195.910492586</v>
      </c>
      <c r="N37" s="75">
        <f t="shared" si="5"/>
        <v>11448337.767359825</v>
      </c>
      <c r="O37" s="75">
        <f t="shared" si="5"/>
        <v>11849029.589217417</v>
      </c>
      <c r="P37" s="75">
        <f t="shared" si="5"/>
        <v>12263745.624840025</v>
      </c>
      <c r="Q37" s="75">
        <f t="shared" si="5"/>
        <v>12692976.721709425</v>
      </c>
      <c r="R37" s="75">
        <f t="shared" si="5"/>
        <v>13137230.906969253</v>
      </c>
      <c r="S37" s="75">
        <f t="shared" si="5"/>
        <v>13597033.988713175</v>
      </c>
      <c r="T37" s="76" t="s">
        <v>53</v>
      </c>
      <c r="U37" s="2"/>
      <c r="V37" s="2"/>
      <c r="W37" s="2"/>
      <c r="X37" s="3"/>
      <c r="Y37" s="3"/>
    </row>
    <row r="38" spans="1:25" ht="25.5" x14ac:dyDescent="0.25">
      <c r="A38" s="59" t="s">
        <v>54</v>
      </c>
      <c r="B38" s="74" t="s">
        <v>55</v>
      </c>
      <c r="C38" s="9">
        <v>2</v>
      </c>
      <c r="D38" s="24">
        <v>300000</v>
      </c>
      <c r="E38" s="75">
        <f t="shared" si="3"/>
        <v>600000</v>
      </c>
      <c r="F38" s="75">
        <f t="shared" si="4"/>
        <v>621000</v>
      </c>
      <c r="G38" s="75">
        <f t="shared" si="4"/>
        <v>642735</v>
      </c>
      <c r="H38" s="75">
        <f t="shared" si="4"/>
        <v>665230.72499999998</v>
      </c>
      <c r="I38" s="75">
        <f t="shared" si="4"/>
        <v>688513.80037499988</v>
      </c>
      <c r="J38" s="75">
        <f t="shared" si="4"/>
        <v>712611.78338812478</v>
      </c>
      <c r="K38" s="75">
        <f>J38*(1+$G$3)</f>
        <v>737553.19580670912</v>
      </c>
      <c r="L38" s="75">
        <f t="shared" si="5"/>
        <v>763367.55765994382</v>
      </c>
      <c r="M38" s="75">
        <f t="shared" si="5"/>
        <v>790085.42217804177</v>
      </c>
      <c r="N38" s="75">
        <f t="shared" si="5"/>
        <v>817738.41195427312</v>
      </c>
      <c r="O38" s="75">
        <f t="shared" si="5"/>
        <v>846359.25637267262</v>
      </c>
      <c r="P38" s="75">
        <f t="shared" si="5"/>
        <v>875981.83034571609</v>
      </c>
      <c r="Q38" s="75">
        <f t="shared" si="5"/>
        <v>906641.19440781604</v>
      </c>
      <c r="R38" s="75">
        <f t="shared" si="5"/>
        <v>938373.63621208956</v>
      </c>
      <c r="S38" s="75">
        <f t="shared" si="5"/>
        <v>971216.7134795126</v>
      </c>
      <c r="T38" s="76" t="s">
        <v>56</v>
      </c>
      <c r="U38" s="2"/>
      <c r="V38" s="2"/>
      <c r="W38" s="2"/>
      <c r="X38" s="3"/>
      <c r="Y38" s="3"/>
    </row>
    <row r="39" spans="1:25" ht="25.5" x14ac:dyDescent="0.25">
      <c r="A39" s="59" t="s">
        <v>57</v>
      </c>
      <c r="B39" s="60" t="s">
        <v>58</v>
      </c>
      <c r="C39" s="9">
        <v>1</v>
      </c>
      <c r="D39" s="24">
        <f>12*60000+12*200000</f>
        <v>3120000</v>
      </c>
      <c r="E39" s="75">
        <f t="shared" si="3"/>
        <v>3120000</v>
      </c>
      <c r="F39" s="75">
        <f t="shared" si="4"/>
        <v>3229199.9999999995</v>
      </c>
      <c r="G39" s="75">
        <f t="shared" si="4"/>
        <v>3342221.9999999991</v>
      </c>
      <c r="H39" s="75">
        <f t="shared" si="4"/>
        <v>3459199.7699999986</v>
      </c>
      <c r="I39" s="75">
        <f t="shared" si="4"/>
        <v>3580271.7619499983</v>
      </c>
      <c r="J39" s="75">
        <f t="shared" si="4"/>
        <v>3705581.2736182478</v>
      </c>
      <c r="K39" s="75">
        <f>J39*(1+$G$3)</f>
        <v>3835276.618194886</v>
      </c>
      <c r="L39" s="75">
        <f t="shared" si="5"/>
        <v>3969511.2998317066</v>
      </c>
      <c r="M39" s="75">
        <f t="shared" si="5"/>
        <v>4108444.1953258161</v>
      </c>
      <c r="N39" s="75">
        <f t="shared" si="5"/>
        <v>4252239.7421622192</v>
      </c>
      <c r="O39" s="75">
        <f t="shared" si="5"/>
        <v>4401068.1331378967</v>
      </c>
      <c r="P39" s="75">
        <f t="shared" si="5"/>
        <v>4555105.5177977225</v>
      </c>
      <c r="Q39" s="75">
        <f t="shared" si="5"/>
        <v>4714534.2109206421</v>
      </c>
      <c r="R39" s="75">
        <f t="shared" si="5"/>
        <v>4879542.9083028641</v>
      </c>
      <c r="S39" s="75">
        <f t="shared" si="5"/>
        <v>5050326.910093464</v>
      </c>
      <c r="T39" s="76" t="s">
        <v>59</v>
      </c>
      <c r="U39" s="2"/>
      <c r="V39" s="3"/>
      <c r="W39" s="3"/>
      <c r="X39" s="3"/>
      <c r="Y39" s="3"/>
    </row>
    <row r="40" spans="1:25" x14ac:dyDescent="0.25">
      <c r="A40" s="56">
        <v>2</v>
      </c>
      <c r="B40" s="193" t="s">
        <v>60</v>
      </c>
      <c r="C40" s="193"/>
      <c r="D40" s="193"/>
      <c r="E40" s="193"/>
      <c r="F40" s="193"/>
      <c r="G40" s="193"/>
      <c r="H40" s="193"/>
      <c r="I40" s="193"/>
      <c r="J40" s="193"/>
      <c r="K40" s="193"/>
      <c r="L40" s="193"/>
      <c r="M40" s="193"/>
      <c r="N40" s="193"/>
      <c r="O40" s="193"/>
      <c r="P40" s="193"/>
      <c r="Q40" s="193"/>
      <c r="R40" s="193"/>
      <c r="S40" s="193"/>
      <c r="T40" s="193"/>
      <c r="U40" s="2"/>
      <c r="V40" s="3"/>
      <c r="W40" s="3"/>
      <c r="X40" s="3"/>
      <c r="Y40" s="3"/>
    </row>
    <row r="41" spans="1:25" ht="25.5" x14ac:dyDescent="0.25">
      <c r="A41" s="59" t="s">
        <v>48</v>
      </c>
      <c r="B41" s="78" t="s">
        <v>61</v>
      </c>
      <c r="C41" s="9">
        <v>12</v>
      </c>
      <c r="D41" s="24">
        <f>500000</f>
        <v>500000</v>
      </c>
      <c r="E41" s="75"/>
      <c r="F41" s="75">
        <f>C41*D41</f>
        <v>6000000</v>
      </c>
      <c r="G41" s="75">
        <v>0</v>
      </c>
      <c r="H41" s="75">
        <f>G41*(1+$G$3)</f>
        <v>0</v>
      </c>
      <c r="I41" s="75">
        <f>H41*(1+$G$3)</f>
        <v>0</v>
      </c>
      <c r="J41" s="75">
        <f t="shared" ref="J41" si="6">I41*(1+$G$3)</f>
        <v>0</v>
      </c>
      <c r="K41" s="75">
        <f>J41*(1+$G$3)</f>
        <v>0</v>
      </c>
      <c r="L41" s="75">
        <f t="shared" ref="L41:S41" si="7">K41*(1+$G$3)</f>
        <v>0</v>
      </c>
      <c r="M41" s="75">
        <f t="shared" si="7"/>
        <v>0</v>
      </c>
      <c r="N41" s="75">
        <f t="shared" si="7"/>
        <v>0</v>
      </c>
      <c r="O41" s="75">
        <f t="shared" si="7"/>
        <v>0</v>
      </c>
      <c r="P41" s="75">
        <f t="shared" si="7"/>
        <v>0</v>
      </c>
      <c r="Q41" s="75">
        <f t="shared" si="7"/>
        <v>0</v>
      </c>
      <c r="R41" s="75">
        <f t="shared" si="7"/>
        <v>0</v>
      </c>
      <c r="S41" s="75">
        <f t="shared" si="7"/>
        <v>0</v>
      </c>
      <c r="T41" s="76" t="s">
        <v>349</v>
      </c>
      <c r="U41" s="2"/>
      <c r="V41" s="3"/>
      <c r="W41" s="3"/>
      <c r="X41" s="3"/>
      <c r="Y41" s="3"/>
    </row>
    <row r="42" spans="1:25" x14ac:dyDescent="0.25">
      <c r="A42" s="56" t="s">
        <v>51</v>
      </c>
      <c r="B42" s="74" t="s">
        <v>62</v>
      </c>
      <c r="C42" s="9">
        <v>0</v>
      </c>
      <c r="D42" s="24">
        <v>0</v>
      </c>
      <c r="E42" s="75">
        <f t="shared" ref="E42" si="8">C42*D42</f>
        <v>0</v>
      </c>
      <c r="F42" s="75">
        <f t="shared" ref="F42:I42" si="9">E42*(1+$G$3)</f>
        <v>0</v>
      </c>
      <c r="G42" s="75">
        <f t="shared" si="9"/>
        <v>0</v>
      </c>
      <c r="H42" s="75">
        <f t="shared" si="9"/>
        <v>0</v>
      </c>
      <c r="I42" s="75">
        <f t="shared" si="9"/>
        <v>0</v>
      </c>
      <c r="J42" s="75"/>
      <c r="K42" s="75"/>
      <c r="L42" s="75"/>
      <c r="M42" s="75"/>
      <c r="N42" s="75"/>
      <c r="O42" s="75"/>
      <c r="P42" s="75"/>
      <c r="Q42" s="75"/>
      <c r="R42" s="75"/>
      <c r="S42" s="75"/>
      <c r="T42" s="10"/>
      <c r="U42" s="2"/>
      <c r="V42" s="3"/>
      <c r="W42" s="3"/>
      <c r="X42" s="3"/>
      <c r="Y42" s="3"/>
    </row>
    <row r="43" spans="1:25" x14ac:dyDescent="0.25">
      <c r="A43" s="56" t="s">
        <v>54</v>
      </c>
      <c r="B43" s="74" t="s">
        <v>63</v>
      </c>
      <c r="C43" s="9">
        <v>12</v>
      </c>
      <c r="D43" s="24">
        <v>50000</v>
      </c>
      <c r="E43" s="75">
        <f>C43*D43</f>
        <v>600000</v>
      </c>
      <c r="F43" s="75">
        <f>E43</f>
        <v>600000</v>
      </c>
      <c r="G43" s="75">
        <f t="shared" ref="G43:S45" si="10">F43</f>
        <v>600000</v>
      </c>
      <c r="H43" s="75">
        <f t="shared" si="10"/>
        <v>600000</v>
      </c>
      <c r="I43" s="75">
        <f t="shared" si="10"/>
        <v>600000</v>
      </c>
      <c r="J43" s="75">
        <f t="shared" si="10"/>
        <v>600000</v>
      </c>
      <c r="K43" s="75">
        <f>J43</f>
        <v>600000</v>
      </c>
      <c r="L43" s="75">
        <f t="shared" ref="L43:S43" si="11">K43</f>
        <v>600000</v>
      </c>
      <c r="M43" s="75">
        <f t="shared" si="11"/>
        <v>600000</v>
      </c>
      <c r="N43" s="75">
        <f t="shared" si="11"/>
        <v>600000</v>
      </c>
      <c r="O43" s="75">
        <f t="shared" si="11"/>
        <v>600000</v>
      </c>
      <c r="P43" s="75">
        <f t="shared" si="11"/>
        <v>600000</v>
      </c>
      <c r="Q43" s="75">
        <f t="shared" si="11"/>
        <v>600000</v>
      </c>
      <c r="R43" s="75">
        <f t="shared" si="11"/>
        <v>600000</v>
      </c>
      <c r="S43" s="75">
        <f t="shared" si="11"/>
        <v>600000</v>
      </c>
      <c r="T43" s="76" t="s">
        <v>350</v>
      </c>
      <c r="U43" s="2"/>
      <c r="V43" s="3"/>
      <c r="W43" s="3"/>
      <c r="X43" s="3"/>
      <c r="Y43" s="3"/>
    </row>
    <row r="44" spans="1:25" x14ac:dyDescent="0.25">
      <c r="A44" s="56" t="s">
        <v>57</v>
      </c>
      <c r="B44" s="74" t="s">
        <v>64</v>
      </c>
      <c r="C44" s="9">
        <v>1</v>
      </c>
      <c r="D44" s="24">
        <v>360000</v>
      </c>
      <c r="E44" s="75">
        <f>D44*C44</f>
        <v>360000</v>
      </c>
      <c r="F44" s="75">
        <f>E44</f>
        <v>360000</v>
      </c>
      <c r="G44" s="75">
        <f t="shared" si="10"/>
        <v>360000</v>
      </c>
      <c r="H44" s="75">
        <f t="shared" si="10"/>
        <v>360000</v>
      </c>
      <c r="I44" s="75">
        <f t="shared" si="10"/>
        <v>360000</v>
      </c>
      <c r="J44" s="75">
        <f t="shared" si="10"/>
        <v>360000</v>
      </c>
      <c r="K44" s="75">
        <f t="shared" si="10"/>
        <v>360000</v>
      </c>
      <c r="L44" s="75">
        <f t="shared" si="10"/>
        <v>360000</v>
      </c>
      <c r="M44" s="75">
        <f t="shared" si="10"/>
        <v>360000</v>
      </c>
      <c r="N44" s="75">
        <f t="shared" si="10"/>
        <v>360000</v>
      </c>
      <c r="O44" s="75">
        <f t="shared" si="10"/>
        <v>360000</v>
      </c>
      <c r="P44" s="75">
        <f t="shared" si="10"/>
        <v>360000</v>
      </c>
      <c r="Q44" s="75">
        <f t="shared" si="10"/>
        <v>360000</v>
      </c>
      <c r="R44" s="75">
        <f t="shared" si="10"/>
        <v>360000</v>
      </c>
      <c r="S44" s="75">
        <f t="shared" si="10"/>
        <v>360000</v>
      </c>
      <c r="T44" s="10" t="s">
        <v>65</v>
      </c>
      <c r="U44" s="2"/>
      <c r="V44" s="3"/>
      <c r="W44" s="3"/>
      <c r="X44" s="3"/>
      <c r="Y44" s="3"/>
    </row>
    <row r="45" spans="1:25" ht="25.5" x14ac:dyDescent="0.25">
      <c r="A45" s="56" t="s">
        <v>66</v>
      </c>
      <c r="B45" s="74" t="s">
        <v>67</v>
      </c>
      <c r="C45" s="9">
        <v>1</v>
      </c>
      <c r="D45" s="24">
        <v>600000</v>
      </c>
      <c r="E45" s="75">
        <f>D45*C45</f>
        <v>600000</v>
      </c>
      <c r="F45" s="75">
        <f>E45</f>
        <v>600000</v>
      </c>
      <c r="G45" s="75">
        <f t="shared" si="10"/>
        <v>600000</v>
      </c>
      <c r="H45" s="75">
        <f t="shared" si="10"/>
        <v>600000</v>
      </c>
      <c r="I45" s="75">
        <f t="shared" si="10"/>
        <v>600000</v>
      </c>
      <c r="J45" s="75">
        <f t="shared" si="10"/>
        <v>600000</v>
      </c>
      <c r="K45" s="75">
        <f t="shared" si="10"/>
        <v>600000</v>
      </c>
      <c r="L45" s="75">
        <f t="shared" si="10"/>
        <v>600000</v>
      </c>
      <c r="M45" s="75">
        <f t="shared" si="10"/>
        <v>600000</v>
      </c>
      <c r="N45" s="75">
        <f t="shared" si="10"/>
        <v>600000</v>
      </c>
      <c r="O45" s="75">
        <f t="shared" si="10"/>
        <v>600000</v>
      </c>
      <c r="P45" s="75">
        <f t="shared" si="10"/>
        <v>600000</v>
      </c>
      <c r="Q45" s="75">
        <f t="shared" si="10"/>
        <v>600000</v>
      </c>
      <c r="R45" s="75">
        <f t="shared" si="10"/>
        <v>600000</v>
      </c>
      <c r="S45" s="75">
        <f t="shared" si="10"/>
        <v>600000</v>
      </c>
      <c r="T45" s="76" t="s">
        <v>68</v>
      </c>
      <c r="U45" s="2"/>
      <c r="V45" s="3"/>
      <c r="W45" s="3"/>
      <c r="X45" s="3"/>
      <c r="Y45" s="3"/>
    </row>
    <row r="46" spans="1:25" ht="25.5" x14ac:dyDescent="0.25">
      <c r="A46" s="56" t="s">
        <v>69</v>
      </c>
      <c r="B46" s="74" t="s">
        <v>70</v>
      </c>
      <c r="C46" s="9">
        <v>12</v>
      </c>
      <c r="D46" s="24">
        <f>50000</f>
        <v>50000</v>
      </c>
      <c r="E46" s="75">
        <f>D46*C46</f>
        <v>600000</v>
      </c>
      <c r="F46" s="75">
        <f>E46*(1+$G$3)</f>
        <v>621000</v>
      </c>
      <c r="G46" s="75">
        <f t="shared" ref="G46:S47" si="12">F46*(1+$G$3)</f>
        <v>642735</v>
      </c>
      <c r="H46" s="75">
        <f t="shared" si="12"/>
        <v>665230.72499999998</v>
      </c>
      <c r="I46" s="75">
        <f t="shared" si="12"/>
        <v>688513.80037499988</v>
      </c>
      <c r="J46" s="75">
        <f t="shared" si="12"/>
        <v>712611.78338812478</v>
      </c>
      <c r="K46" s="75">
        <f t="shared" si="12"/>
        <v>737553.19580670912</v>
      </c>
      <c r="L46" s="75">
        <f t="shared" si="12"/>
        <v>763367.55765994382</v>
      </c>
      <c r="M46" s="75">
        <f t="shared" si="12"/>
        <v>790085.42217804177</v>
      </c>
      <c r="N46" s="75">
        <f t="shared" si="12"/>
        <v>817738.41195427312</v>
      </c>
      <c r="O46" s="75">
        <f t="shared" si="12"/>
        <v>846359.25637267262</v>
      </c>
      <c r="P46" s="75">
        <f t="shared" si="12"/>
        <v>875981.83034571609</v>
      </c>
      <c r="Q46" s="75">
        <f t="shared" si="12"/>
        <v>906641.19440781604</v>
      </c>
      <c r="R46" s="75">
        <f t="shared" si="12"/>
        <v>938373.63621208956</v>
      </c>
      <c r="S46" s="75">
        <f t="shared" si="12"/>
        <v>971216.7134795126</v>
      </c>
      <c r="T46" s="76" t="s">
        <v>71</v>
      </c>
      <c r="U46" s="2"/>
      <c r="V46" s="3"/>
      <c r="W46" s="3"/>
      <c r="X46" s="3"/>
      <c r="Y46" s="3"/>
    </row>
    <row r="47" spans="1:25" ht="51" x14ac:dyDescent="0.25">
      <c r="A47" s="56" t="s">
        <v>72</v>
      </c>
      <c r="B47" s="74" t="s">
        <v>73</v>
      </c>
      <c r="C47" s="9">
        <v>2</v>
      </c>
      <c r="D47" s="24">
        <f>600000</f>
        <v>600000</v>
      </c>
      <c r="E47" s="75">
        <v>0</v>
      </c>
      <c r="F47" s="75">
        <f>D47*C47</f>
        <v>1200000</v>
      </c>
      <c r="G47" s="75">
        <f>F47*(1+$G$3)</f>
        <v>1242000</v>
      </c>
      <c r="H47" s="75">
        <f t="shared" si="12"/>
        <v>1285470</v>
      </c>
      <c r="I47" s="75">
        <f t="shared" si="12"/>
        <v>1330461.45</v>
      </c>
      <c r="J47" s="75">
        <f t="shared" si="12"/>
        <v>1377027.6007499998</v>
      </c>
      <c r="K47" s="75">
        <f t="shared" si="12"/>
        <v>1425223.5667762496</v>
      </c>
      <c r="L47" s="75">
        <f t="shared" si="12"/>
        <v>1475106.3916134182</v>
      </c>
      <c r="M47" s="75">
        <f t="shared" si="12"/>
        <v>1526735.1153198876</v>
      </c>
      <c r="N47" s="75">
        <f t="shared" si="12"/>
        <v>1580170.8443560835</v>
      </c>
      <c r="O47" s="75">
        <f t="shared" si="12"/>
        <v>1635476.8239085462</v>
      </c>
      <c r="P47" s="75">
        <f t="shared" si="12"/>
        <v>1692718.5127453452</v>
      </c>
      <c r="Q47" s="75">
        <f t="shared" si="12"/>
        <v>1751963.6606914322</v>
      </c>
      <c r="R47" s="75">
        <f t="shared" si="12"/>
        <v>1813282.3888156321</v>
      </c>
      <c r="S47" s="75">
        <f t="shared" si="12"/>
        <v>1876747.2724241791</v>
      </c>
      <c r="T47" s="76" t="s">
        <v>74</v>
      </c>
      <c r="U47" s="2"/>
      <c r="V47" s="3"/>
      <c r="W47" s="3"/>
      <c r="X47" s="3"/>
      <c r="Y47" s="3"/>
    </row>
    <row r="48" spans="1:25" x14ac:dyDescent="0.25">
      <c r="A48" s="56">
        <v>3</v>
      </c>
      <c r="B48" s="190" t="s">
        <v>75</v>
      </c>
      <c r="C48" s="190"/>
      <c r="D48" s="190"/>
      <c r="E48" s="190"/>
      <c r="F48" s="190"/>
      <c r="G48" s="190"/>
      <c r="H48" s="190"/>
      <c r="I48" s="190"/>
      <c r="J48" s="72"/>
      <c r="K48" s="72"/>
      <c r="L48" s="72"/>
      <c r="M48" s="72"/>
      <c r="N48" s="72"/>
      <c r="O48" s="72"/>
      <c r="P48" s="72"/>
      <c r="Q48" s="72"/>
      <c r="R48" s="72"/>
      <c r="S48" s="72"/>
      <c r="T48" s="77"/>
      <c r="U48" s="2"/>
      <c r="V48" s="3"/>
      <c r="W48" s="3"/>
      <c r="X48" s="3"/>
      <c r="Y48" s="3"/>
    </row>
    <row r="49" spans="1:25" ht="38.25" x14ac:dyDescent="0.25">
      <c r="A49" s="59" t="s">
        <v>48</v>
      </c>
      <c r="B49" s="78" t="s">
        <v>103</v>
      </c>
      <c r="C49" s="9">
        <v>1</v>
      </c>
      <c r="D49" s="24">
        <v>2000000</v>
      </c>
      <c r="E49" s="75">
        <v>0</v>
      </c>
      <c r="F49" s="75">
        <f t="shared" ref="F49:S50" si="13">E49*(1+$G$3)</f>
        <v>0</v>
      </c>
      <c r="G49" s="75">
        <f t="shared" si="13"/>
        <v>0</v>
      </c>
      <c r="H49" s="75">
        <f t="shared" si="13"/>
        <v>0</v>
      </c>
      <c r="I49" s="75">
        <f t="shared" si="13"/>
        <v>0</v>
      </c>
      <c r="J49" s="75">
        <f t="shared" si="13"/>
        <v>0</v>
      </c>
      <c r="K49" s="75">
        <f t="shared" si="13"/>
        <v>0</v>
      </c>
      <c r="L49" s="75">
        <f>D49*C49</f>
        <v>2000000</v>
      </c>
      <c r="M49" s="75">
        <v>0</v>
      </c>
      <c r="N49" s="75">
        <f t="shared" si="13"/>
        <v>0</v>
      </c>
      <c r="O49" s="75">
        <f t="shared" si="13"/>
        <v>0</v>
      </c>
      <c r="P49" s="75">
        <f t="shared" si="13"/>
        <v>0</v>
      </c>
      <c r="Q49" s="75">
        <f t="shared" si="13"/>
        <v>0</v>
      </c>
      <c r="R49" s="75">
        <f t="shared" si="13"/>
        <v>0</v>
      </c>
      <c r="S49" s="75">
        <f t="shared" si="13"/>
        <v>0</v>
      </c>
      <c r="T49" s="76" t="s">
        <v>351</v>
      </c>
      <c r="U49" s="2"/>
      <c r="V49" s="3"/>
      <c r="W49" s="3"/>
      <c r="X49" s="3"/>
      <c r="Y49" s="3"/>
    </row>
    <row r="50" spans="1:25" ht="63.75" x14ac:dyDescent="0.25">
      <c r="A50" s="59" t="s">
        <v>51</v>
      </c>
      <c r="B50" s="78" t="s">
        <v>77</v>
      </c>
      <c r="C50" s="9">
        <v>1</v>
      </c>
      <c r="D50" s="24">
        <f>2*500000+12*100000</f>
        <v>2200000</v>
      </c>
      <c r="E50" s="75">
        <f>C50*D50-1000000</f>
        <v>1200000</v>
      </c>
      <c r="F50" s="75">
        <f>E50*(1+$G$3)+1000000</f>
        <v>2242000</v>
      </c>
      <c r="G50" s="75">
        <f t="shared" si="13"/>
        <v>2320470</v>
      </c>
      <c r="H50" s="75">
        <f t="shared" si="13"/>
        <v>2401686.4499999997</v>
      </c>
      <c r="I50" s="75">
        <f t="shared" si="13"/>
        <v>2485745.4757499998</v>
      </c>
      <c r="J50" s="75">
        <f t="shared" si="13"/>
        <v>2572746.5674012494</v>
      </c>
      <c r="K50" s="75">
        <f>J50*(1+$G$3)</f>
        <v>2662792.6972602932</v>
      </c>
      <c r="L50" s="75">
        <f t="shared" si="13"/>
        <v>2755990.4416644033</v>
      </c>
      <c r="M50" s="75">
        <f t="shared" si="13"/>
        <v>2852450.1071226574</v>
      </c>
      <c r="N50" s="75">
        <f t="shared" si="13"/>
        <v>2952285.8608719502</v>
      </c>
      <c r="O50" s="75">
        <f t="shared" si="13"/>
        <v>3055615.8660024684</v>
      </c>
      <c r="P50" s="75">
        <f t="shared" si="13"/>
        <v>3162562.4213125547</v>
      </c>
      <c r="Q50" s="75">
        <f t="shared" si="13"/>
        <v>3273252.1060584937</v>
      </c>
      <c r="R50" s="75">
        <f t="shared" si="13"/>
        <v>3387815.9297705409</v>
      </c>
      <c r="S50" s="75">
        <f t="shared" si="13"/>
        <v>3506389.4873125097</v>
      </c>
      <c r="T50" s="76" t="s">
        <v>78</v>
      </c>
      <c r="U50" s="2"/>
      <c r="V50" s="3"/>
      <c r="W50" s="3"/>
      <c r="X50" s="3"/>
      <c r="Y50" s="3"/>
    </row>
    <row r="51" spans="1:25" x14ac:dyDescent="0.25">
      <c r="A51" s="56"/>
      <c r="B51" s="70" t="s">
        <v>79</v>
      </c>
      <c r="C51" s="70"/>
      <c r="D51" s="70"/>
      <c r="E51" s="46">
        <f t="shared" ref="E51:S51" si="14">SUM(E36:E50)</f>
        <v>22580000</v>
      </c>
      <c r="F51" s="46">
        <f t="shared" si="14"/>
        <v>31515700</v>
      </c>
      <c r="G51" s="46">
        <f t="shared" si="14"/>
        <v>26354149.5</v>
      </c>
      <c r="H51" s="46">
        <f t="shared" si="14"/>
        <v>27221944.732499998</v>
      </c>
      <c r="I51" s="46">
        <f t="shared" si="14"/>
        <v>28120112.79813749</v>
      </c>
      <c r="J51" s="46">
        <f t="shared" si="14"/>
        <v>29049716.746072304</v>
      </c>
      <c r="K51" s="46">
        <f t="shared" si="14"/>
        <v>30011856.832184829</v>
      </c>
      <c r="L51" s="46">
        <f t="shared" si="14"/>
        <v>33007671.821311295</v>
      </c>
      <c r="M51" s="46">
        <f t="shared" si="14"/>
        <v>32038340.335057188</v>
      </c>
      <c r="N51" s="46">
        <f t="shared" si="14"/>
        <v>33105082.246784188</v>
      </c>
      <c r="O51" s="46">
        <f t="shared" si="14"/>
        <v>34209160.125421628</v>
      </c>
      <c r="P51" s="46">
        <f t="shared" si="14"/>
        <v>35351880.729811385</v>
      </c>
      <c r="Q51" s="46">
        <f t="shared" si="14"/>
        <v>36534596.555354789</v>
      </c>
      <c r="R51" s="46">
        <f t="shared" si="14"/>
        <v>37758707.434792198</v>
      </c>
      <c r="S51" s="46">
        <f t="shared" si="14"/>
        <v>39025662.195009917</v>
      </c>
      <c r="T51" s="80"/>
      <c r="U51" s="2"/>
      <c r="V51" s="3"/>
      <c r="W51" s="3"/>
      <c r="X51" s="3"/>
      <c r="Y51" s="3"/>
    </row>
    <row r="52" spans="1:25" x14ac:dyDescent="0.25">
      <c r="A52" s="2"/>
      <c r="B52" s="48"/>
      <c r="C52" s="1"/>
      <c r="D52" s="1"/>
      <c r="E52" s="11"/>
      <c r="F52" s="1"/>
      <c r="G52" s="1"/>
      <c r="H52" s="1"/>
      <c r="I52" s="1"/>
      <c r="J52" s="1"/>
      <c r="K52" s="1"/>
      <c r="L52" s="1"/>
      <c r="M52" s="1"/>
      <c r="N52" s="1"/>
      <c r="O52" s="1"/>
      <c r="P52" s="1"/>
      <c r="Q52" s="1"/>
      <c r="R52" s="1"/>
      <c r="S52" s="1"/>
      <c r="T52" s="1"/>
      <c r="U52" s="2"/>
      <c r="V52" s="2"/>
      <c r="W52" s="3"/>
      <c r="X52" s="3"/>
      <c r="Y52" s="3"/>
    </row>
    <row r="53" spans="1:25" x14ac:dyDescent="0.25">
      <c r="A53" s="2"/>
      <c r="B53" s="2"/>
      <c r="C53" s="81"/>
      <c r="D53" s="2"/>
      <c r="E53" s="2"/>
      <c r="F53" s="2"/>
      <c r="G53" s="2"/>
      <c r="H53" s="2"/>
      <c r="I53" s="2"/>
      <c r="J53" s="2"/>
      <c r="K53" s="2"/>
      <c r="L53" s="2"/>
      <c r="M53" s="2"/>
      <c r="N53" s="2"/>
      <c r="O53" s="2"/>
      <c r="P53" s="2"/>
      <c r="Q53" s="2"/>
      <c r="R53" s="2"/>
      <c r="S53" s="2"/>
      <c r="T53" s="2"/>
      <c r="U53" s="2"/>
      <c r="V53" s="2"/>
      <c r="W53" s="3"/>
      <c r="X53" s="3"/>
      <c r="Y53" s="3"/>
    </row>
    <row r="54" spans="1:25" x14ac:dyDescent="0.25">
      <c r="A54" s="2"/>
      <c r="B54" s="2"/>
      <c r="C54" s="81"/>
      <c r="D54" s="2"/>
      <c r="E54" s="2"/>
      <c r="F54" s="2"/>
      <c r="G54" s="2"/>
      <c r="H54" s="2"/>
      <c r="I54" s="2"/>
      <c r="J54" s="2"/>
      <c r="K54" s="2"/>
      <c r="L54" s="2"/>
      <c r="M54" s="2"/>
      <c r="N54" s="2"/>
      <c r="O54" s="2"/>
      <c r="P54" s="2"/>
      <c r="Q54" s="2"/>
      <c r="R54" s="2"/>
      <c r="S54" s="2"/>
      <c r="T54" s="2"/>
      <c r="U54" s="2"/>
      <c r="V54" s="2"/>
      <c r="W54" s="3"/>
      <c r="X54" s="3"/>
      <c r="Y54" s="3"/>
    </row>
    <row r="55" spans="1:25" ht="15.75" x14ac:dyDescent="0.25">
      <c r="A55" s="191" t="s">
        <v>80</v>
      </c>
      <c r="B55" s="192"/>
      <c r="C55" s="192"/>
      <c r="D55" s="192"/>
      <c r="E55" s="192"/>
      <c r="F55" s="192"/>
      <c r="G55" s="192"/>
      <c r="H55" s="192"/>
      <c r="I55" s="192"/>
      <c r="J55" s="192"/>
      <c r="K55" s="192"/>
      <c r="L55" s="192"/>
      <c r="M55" s="192"/>
      <c r="N55" s="192"/>
      <c r="O55" s="192"/>
      <c r="P55" s="192"/>
      <c r="Q55" s="192"/>
      <c r="R55" s="192"/>
      <c r="S55" s="2"/>
      <c r="T55" s="2"/>
      <c r="U55" s="2"/>
      <c r="V55" s="2"/>
      <c r="W55" s="3"/>
      <c r="X55" s="3"/>
      <c r="Y55" s="3"/>
    </row>
    <row r="56" spans="1:25" x14ac:dyDescent="0.25">
      <c r="A56" s="56" t="s">
        <v>11</v>
      </c>
      <c r="B56" s="82" t="s">
        <v>81</v>
      </c>
      <c r="C56" s="83" t="s">
        <v>82</v>
      </c>
      <c r="D56" s="84" t="s">
        <v>31</v>
      </c>
      <c r="E56" s="84" t="s">
        <v>32</v>
      </c>
      <c r="F56" s="84" t="s">
        <v>33</v>
      </c>
      <c r="G56" s="84" t="s">
        <v>34</v>
      </c>
      <c r="H56" s="84" t="s">
        <v>35</v>
      </c>
      <c r="I56" s="84" t="s">
        <v>36</v>
      </c>
      <c r="J56" s="84" t="s">
        <v>37</v>
      </c>
      <c r="K56" s="84" t="s">
        <v>38</v>
      </c>
      <c r="L56" s="84" t="s">
        <v>96</v>
      </c>
      <c r="M56" s="84" t="s">
        <v>97</v>
      </c>
      <c r="N56" s="84" t="s">
        <v>98</v>
      </c>
      <c r="O56" s="84" t="s">
        <v>99</v>
      </c>
      <c r="P56" s="84" t="s">
        <v>100</v>
      </c>
      <c r="Q56" s="84" t="s">
        <v>101</v>
      </c>
      <c r="R56" s="84" t="s">
        <v>102</v>
      </c>
      <c r="S56" s="85"/>
      <c r="T56" s="85"/>
      <c r="U56" s="2"/>
      <c r="V56" s="2"/>
      <c r="W56" s="3"/>
      <c r="X56" s="3"/>
      <c r="Y56" s="3"/>
    </row>
    <row r="57" spans="1:25" x14ac:dyDescent="0.25">
      <c r="A57" s="59">
        <v>1</v>
      </c>
      <c r="B57" s="86" t="s">
        <v>83</v>
      </c>
      <c r="C57" s="87"/>
      <c r="D57" s="87">
        <f t="shared" ref="D57:R57" si="15">E30</f>
        <v>0</v>
      </c>
      <c r="E57" s="87">
        <f t="shared" si="15"/>
        <v>67608270</v>
      </c>
      <c r="F57" s="87">
        <f t="shared" si="15"/>
        <v>69974559.449999988</v>
      </c>
      <c r="G57" s="87">
        <f t="shared" si="15"/>
        <v>72423669.030749977</v>
      </c>
      <c r="H57" s="87">
        <f t="shared" si="15"/>
        <v>74958497.44682622</v>
      </c>
      <c r="I57" s="87">
        <f t="shared" si="15"/>
        <v>77582044.857465148</v>
      </c>
      <c r="J57" s="87">
        <f t="shared" si="15"/>
        <v>80297416.427476421</v>
      </c>
      <c r="K57" s="87">
        <f t="shared" si="15"/>
        <v>83107826.002438083</v>
      </c>
      <c r="L57" s="87">
        <f t="shared" si="15"/>
        <v>86016599.912523419</v>
      </c>
      <c r="M57" s="87">
        <f t="shared" si="15"/>
        <v>89027180.909461722</v>
      </c>
      <c r="N57" s="87">
        <f t="shared" si="15"/>
        <v>92143132.241292879</v>
      </c>
      <c r="O57" s="87">
        <f t="shared" si="15"/>
        <v>95368141.869738132</v>
      </c>
      <c r="P57" s="87">
        <f t="shared" si="15"/>
        <v>98706026.835178971</v>
      </c>
      <c r="Q57" s="87">
        <f t="shared" si="15"/>
        <v>102160737.77441022</v>
      </c>
      <c r="R57" s="87">
        <f t="shared" si="15"/>
        <v>105736363.59651457</v>
      </c>
      <c r="S57" s="88"/>
      <c r="T57" s="88"/>
      <c r="U57" s="2"/>
      <c r="V57" s="2"/>
      <c r="W57" s="3"/>
      <c r="X57" s="3"/>
      <c r="Y57" s="3"/>
    </row>
    <row r="58" spans="1:25" x14ac:dyDescent="0.25">
      <c r="A58" s="59">
        <v>2</v>
      </c>
      <c r="B58" s="86" t="s">
        <v>84</v>
      </c>
      <c r="C58" s="89"/>
      <c r="D58" s="87">
        <f>E51</f>
        <v>22580000</v>
      </c>
      <c r="E58" s="87">
        <f>F51</f>
        <v>31515700</v>
      </c>
      <c r="F58" s="87">
        <f>G51</f>
        <v>26354149.5</v>
      </c>
      <c r="G58" s="87">
        <f>H51</f>
        <v>27221944.732499998</v>
      </c>
      <c r="H58" s="87">
        <f>I51</f>
        <v>28120112.79813749</v>
      </c>
      <c r="I58" s="87">
        <f t="shared" ref="I58" si="16">J51</f>
        <v>29049716.746072304</v>
      </c>
      <c r="J58" s="87">
        <f>K51</f>
        <v>30011856.832184829</v>
      </c>
      <c r="K58" s="87">
        <f t="shared" ref="K58:L58" si="17">L51</f>
        <v>33007671.821311295</v>
      </c>
      <c r="L58" s="87">
        <f t="shared" si="17"/>
        <v>32038340.335057188</v>
      </c>
      <c r="M58" s="87">
        <f>N51</f>
        <v>33105082.246784188</v>
      </c>
      <c r="N58" s="87">
        <f t="shared" ref="N58:R58" si="18">O51</f>
        <v>34209160.125421628</v>
      </c>
      <c r="O58" s="87">
        <f t="shared" si="18"/>
        <v>35351880.729811385</v>
      </c>
      <c r="P58" s="87">
        <f t="shared" si="18"/>
        <v>36534596.555354789</v>
      </c>
      <c r="Q58" s="87">
        <f t="shared" si="18"/>
        <v>37758707.434792198</v>
      </c>
      <c r="R58" s="87">
        <f t="shared" si="18"/>
        <v>39025662.195009917</v>
      </c>
      <c r="S58" s="88"/>
      <c r="T58" s="88"/>
      <c r="U58" s="2"/>
      <c r="V58" s="2"/>
      <c r="W58" s="3"/>
      <c r="X58" s="3"/>
      <c r="Y58" s="3"/>
    </row>
    <row r="59" spans="1:25" x14ac:dyDescent="0.25">
      <c r="A59" s="59">
        <v>3</v>
      </c>
      <c r="B59" s="86" t="s">
        <v>85</v>
      </c>
      <c r="C59" s="89">
        <f>C22</f>
        <v>294000000</v>
      </c>
      <c r="D59" s="87"/>
      <c r="E59" s="87"/>
      <c r="F59" s="87"/>
      <c r="G59" s="87"/>
      <c r="H59" s="87"/>
      <c r="I59" s="87"/>
      <c r="J59" s="87"/>
      <c r="K59" s="87"/>
      <c r="L59" s="87"/>
      <c r="M59" s="87"/>
      <c r="N59" s="87"/>
      <c r="O59" s="87"/>
      <c r="P59" s="87"/>
      <c r="Q59" s="87"/>
      <c r="R59" s="87"/>
      <c r="S59" s="88"/>
      <c r="T59" s="88"/>
      <c r="U59" s="2"/>
      <c r="V59" s="2"/>
      <c r="W59" s="3"/>
      <c r="X59" s="3"/>
      <c r="Y59" s="3"/>
    </row>
    <row r="60" spans="1:25" x14ac:dyDescent="0.25">
      <c r="A60" s="59">
        <v>4</v>
      </c>
      <c r="B60" s="86" t="s">
        <v>86</v>
      </c>
      <c r="C60" s="89">
        <f>SUM(D41:D47)/2</f>
        <v>1080000</v>
      </c>
      <c r="D60" s="87">
        <f>-E51</f>
        <v>-22580000</v>
      </c>
      <c r="E60" s="87">
        <v>0</v>
      </c>
      <c r="F60" s="87">
        <v>0</v>
      </c>
      <c r="G60" s="87">
        <v>0</v>
      </c>
      <c r="H60" s="87">
        <v>0</v>
      </c>
      <c r="I60" s="87">
        <v>0</v>
      </c>
      <c r="J60" s="87">
        <v>0</v>
      </c>
      <c r="K60" s="87">
        <v>0</v>
      </c>
      <c r="L60" s="87">
        <v>0</v>
      </c>
      <c r="M60" s="87">
        <v>0</v>
      </c>
      <c r="N60" s="87">
        <v>0</v>
      </c>
      <c r="O60" s="87">
        <v>0</v>
      </c>
      <c r="P60" s="87">
        <v>0</v>
      </c>
      <c r="Q60" s="87">
        <v>0</v>
      </c>
      <c r="R60" s="87">
        <v>0</v>
      </c>
      <c r="S60" s="88"/>
      <c r="T60" s="88"/>
      <c r="U60" s="2"/>
      <c r="V60" s="2"/>
      <c r="W60" s="3"/>
      <c r="X60" s="3"/>
      <c r="Y60" s="3"/>
    </row>
    <row r="61" spans="1:25" x14ac:dyDescent="0.25">
      <c r="A61" s="59">
        <v>5</v>
      </c>
      <c r="B61" s="86" t="s">
        <v>87</v>
      </c>
      <c r="C61" s="89"/>
      <c r="D61" s="87"/>
      <c r="E61" s="87"/>
      <c r="F61" s="87"/>
      <c r="G61" s="87"/>
      <c r="H61" s="87"/>
      <c r="I61" s="87"/>
      <c r="J61" s="87"/>
      <c r="K61" s="87"/>
      <c r="L61" s="87"/>
      <c r="M61" s="87"/>
      <c r="N61" s="87"/>
      <c r="O61" s="87"/>
      <c r="P61" s="87"/>
      <c r="Q61" s="87"/>
      <c r="R61" s="87">
        <f>G21</f>
        <v>112676004.47812504</v>
      </c>
      <c r="S61" s="88"/>
      <c r="T61" s="88"/>
      <c r="U61" s="2"/>
      <c r="V61" s="2"/>
      <c r="W61" s="3"/>
      <c r="X61" s="3"/>
      <c r="Y61" s="3"/>
    </row>
    <row r="62" spans="1:25" x14ac:dyDescent="0.25">
      <c r="A62" s="59">
        <v>6</v>
      </c>
      <c r="B62" s="86" t="s">
        <v>88</v>
      </c>
      <c r="C62" s="89"/>
      <c r="D62" s="87"/>
      <c r="E62" s="87"/>
      <c r="F62" s="87">
        <v>0</v>
      </c>
      <c r="G62" s="87">
        <v>0</v>
      </c>
      <c r="H62" s="87"/>
      <c r="I62" s="87"/>
      <c r="J62" s="87"/>
      <c r="K62" s="87"/>
      <c r="L62" s="87"/>
      <c r="M62" s="87"/>
      <c r="N62" s="87"/>
      <c r="O62" s="87"/>
      <c r="P62" s="87"/>
      <c r="Q62" s="87"/>
      <c r="R62" s="87">
        <f>C60</f>
        <v>1080000</v>
      </c>
      <c r="S62" s="88"/>
      <c r="T62" s="88"/>
      <c r="U62" s="2"/>
      <c r="V62" s="2"/>
      <c r="W62" s="3"/>
      <c r="X62" s="3"/>
      <c r="Y62" s="3"/>
    </row>
    <row r="63" spans="1:25" x14ac:dyDescent="0.25">
      <c r="A63" s="59"/>
      <c r="B63" s="86" t="s">
        <v>89</v>
      </c>
      <c r="C63" s="89">
        <f>-SUM(C59:C61)</f>
        <v>-295080000</v>
      </c>
      <c r="D63" s="87">
        <f>SUM(D57-D58-D59+D60+D61+D62)</f>
        <v>-45160000</v>
      </c>
      <c r="E63" s="87">
        <f t="shared" ref="E63:L63" si="19">SUM(E57-E58-E59+E60+E61+E62)</f>
        <v>36092570</v>
      </c>
      <c r="F63" s="87">
        <f t="shared" si="19"/>
        <v>43620409.949999988</v>
      </c>
      <c r="G63" s="87">
        <f t="shared" si="19"/>
        <v>45201724.298249975</v>
      </c>
      <c r="H63" s="87">
        <f t="shared" si="19"/>
        <v>46838384.648688734</v>
      </c>
      <c r="I63" s="87">
        <f t="shared" si="19"/>
        <v>48532328.111392841</v>
      </c>
      <c r="J63" s="87">
        <f t="shared" si="19"/>
        <v>50285559.595291592</v>
      </c>
      <c r="K63" s="87">
        <f t="shared" si="19"/>
        <v>50100154.181126788</v>
      </c>
      <c r="L63" s="87">
        <f t="shared" si="19"/>
        <v>53978259.577466235</v>
      </c>
      <c r="M63" s="87">
        <f>SUM(M57-M58-M59+M60+M61+M62)</f>
        <v>55922098.662677534</v>
      </c>
      <c r="N63" s="87">
        <f t="shared" ref="N63:R63" si="20">SUM(N57-N58-N59+N60+N61+N62)</f>
        <v>57933972.115871251</v>
      </c>
      <c r="O63" s="87">
        <f t="shared" si="20"/>
        <v>60016261.139926746</v>
      </c>
      <c r="P63" s="87">
        <f t="shared" si="20"/>
        <v>62171430.279824182</v>
      </c>
      <c r="Q63" s="87">
        <f t="shared" si="20"/>
        <v>64402030.33961802</v>
      </c>
      <c r="R63" s="87">
        <f t="shared" si="20"/>
        <v>180466705.87962967</v>
      </c>
      <c r="S63" s="88"/>
      <c r="T63" s="88"/>
      <c r="U63" s="2"/>
      <c r="V63" s="2"/>
      <c r="W63" s="3"/>
      <c r="X63" s="3"/>
      <c r="Y63" s="3"/>
    </row>
    <row r="64" spans="1:25" x14ac:dyDescent="0.25">
      <c r="A64" s="2"/>
      <c r="B64" s="181"/>
      <c r="C64" s="181"/>
      <c r="D64" s="181"/>
      <c r="E64" s="181"/>
      <c r="F64" s="181"/>
      <c r="G64" s="181"/>
      <c r="H64" s="181"/>
      <c r="I64" s="68"/>
      <c r="J64" s="68"/>
      <c r="K64" s="68"/>
      <c r="L64" s="68"/>
      <c r="M64" s="68"/>
      <c r="N64" s="68"/>
      <c r="O64" s="68"/>
      <c r="P64" s="68"/>
      <c r="Q64" s="68"/>
      <c r="R64" s="68"/>
      <c r="S64" s="68"/>
      <c r="T64" s="68"/>
      <c r="U64" s="2"/>
      <c r="V64" s="2"/>
      <c r="W64" s="3"/>
      <c r="X64" s="3"/>
      <c r="Y64" s="3"/>
    </row>
    <row r="65" spans="1:25" x14ac:dyDescent="0.25">
      <c r="A65" s="2"/>
      <c r="B65" s="2"/>
      <c r="C65" s="2"/>
      <c r="D65" s="2"/>
      <c r="E65" s="2"/>
      <c r="F65" s="2"/>
      <c r="G65" s="2"/>
      <c r="H65" s="2"/>
      <c r="I65" s="68"/>
      <c r="J65" s="68"/>
      <c r="K65" s="68"/>
      <c r="L65" s="68"/>
      <c r="M65" s="68"/>
      <c r="N65" s="68"/>
      <c r="O65" s="68"/>
      <c r="P65" s="68"/>
      <c r="Q65" s="68"/>
      <c r="R65" s="68"/>
      <c r="S65" s="68"/>
      <c r="T65" s="68"/>
      <c r="U65" s="2"/>
      <c r="V65" s="2"/>
      <c r="W65" s="3"/>
      <c r="X65" s="3"/>
      <c r="Y65" s="3"/>
    </row>
    <row r="66" spans="1:25" x14ac:dyDescent="0.25">
      <c r="A66" s="2"/>
      <c r="B66" s="2"/>
      <c r="C66" s="2"/>
      <c r="D66" s="2"/>
      <c r="E66" s="2"/>
      <c r="F66" s="2"/>
      <c r="G66" s="2"/>
      <c r="H66" s="2"/>
      <c r="I66" s="68"/>
      <c r="J66" s="68"/>
      <c r="K66" s="68"/>
      <c r="L66" s="68"/>
      <c r="M66" s="68"/>
      <c r="N66" s="68"/>
      <c r="O66" s="68"/>
      <c r="P66" s="68"/>
      <c r="Q66" s="68"/>
      <c r="R66" s="68"/>
      <c r="S66" s="68"/>
      <c r="T66" s="68"/>
      <c r="U66" s="2"/>
      <c r="V66" s="2"/>
      <c r="W66" s="3"/>
      <c r="X66" s="3"/>
      <c r="Y66" s="3"/>
    </row>
    <row r="67" spans="1:25" ht="15.75" x14ac:dyDescent="0.25">
      <c r="A67" s="182" t="s">
        <v>327</v>
      </c>
      <c r="B67" s="183"/>
      <c r="C67" s="184"/>
      <c r="D67" s="2"/>
      <c r="E67" s="2"/>
      <c r="F67" s="2"/>
      <c r="G67" s="90"/>
      <c r="H67" s="2"/>
      <c r="I67" s="2"/>
      <c r="J67" s="2"/>
      <c r="K67" s="2"/>
      <c r="L67" s="2"/>
      <c r="M67" s="2"/>
      <c r="N67" s="2"/>
      <c r="O67" s="2"/>
      <c r="P67" s="2"/>
      <c r="Q67" s="2"/>
      <c r="R67" s="2"/>
      <c r="S67" s="2"/>
      <c r="T67" s="2"/>
      <c r="U67" s="2"/>
      <c r="V67" s="2"/>
      <c r="W67" s="3"/>
      <c r="X67" s="3"/>
      <c r="Y67" s="3"/>
    </row>
    <row r="68" spans="1:25" x14ac:dyDescent="0.25">
      <c r="A68" s="91" t="s">
        <v>11</v>
      </c>
      <c r="B68" s="92" t="s">
        <v>91</v>
      </c>
      <c r="C68" s="92" t="s">
        <v>92</v>
      </c>
      <c r="D68" s="2"/>
      <c r="E68" s="2"/>
      <c r="F68" s="2"/>
      <c r="G68" s="2"/>
      <c r="H68" s="2"/>
      <c r="I68" s="2"/>
      <c r="J68" s="2"/>
      <c r="K68" s="2"/>
      <c r="L68" s="2"/>
      <c r="M68" s="2"/>
      <c r="N68" s="2"/>
      <c r="O68" s="2"/>
      <c r="P68" s="2"/>
      <c r="Q68" s="2"/>
      <c r="R68" s="2"/>
      <c r="S68" s="2"/>
      <c r="T68" s="2"/>
      <c r="U68" s="85"/>
      <c r="V68" s="85"/>
      <c r="W68" s="3"/>
      <c r="X68" s="3"/>
      <c r="Y68" s="3"/>
    </row>
    <row r="69" spans="1:25" ht="25.5" x14ac:dyDescent="0.25">
      <c r="A69" s="93">
        <v>1</v>
      </c>
      <c r="B69" s="94" t="s">
        <v>93</v>
      </c>
      <c r="C69" s="104">
        <f>NPV(C73,D63:R63)+C63</f>
        <v>25045977.017720759</v>
      </c>
      <c r="D69" s="3"/>
      <c r="E69" s="3"/>
      <c r="F69" s="3"/>
      <c r="G69" s="3"/>
      <c r="H69" s="3"/>
      <c r="I69" s="3"/>
      <c r="J69" s="3"/>
      <c r="K69" s="3"/>
      <c r="L69" s="3"/>
      <c r="M69" s="3"/>
      <c r="N69" s="3"/>
      <c r="O69" s="3"/>
      <c r="P69" s="3"/>
      <c r="Q69" s="3"/>
      <c r="R69" s="3"/>
      <c r="S69" s="3"/>
      <c r="T69" s="3"/>
      <c r="U69" s="88"/>
      <c r="V69" s="88"/>
      <c r="W69" s="3"/>
      <c r="X69" s="3"/>
      <c r="Y69" s="3"/>
    </row>
    <row r="70" spans="1:25" ht="25.5" x14ac:dyDescent="0.25">
      <c r="A70" s="93">
        <v>2</v>
      </c>
      <c r="B70" s="94" t="s">
        <v>212</v>
      </c>
      <c r="C70" s="95">
        <f>NPV(C73,D63:R63)</f>
        <v>320125977.01772076</v>
      </c>
      <c r="D70" s="3"/>
      <c r="E70" s="3"/>
      <c r="F70" s="3"/>
      <c r="G70" s="3"/>
      <c r="H70" s="3"/>
      <c r="I70" s="3"/>
      <c r="J70" s="3"/>
      <c r="K70" s="3"/>
      <c r="L70" s="3"/>
      <c r="M70" s="3"/>
      <c r="N70" s="3"/>
      <c r="O70" s="3"/>
      <c r="P70" s="3"/>
      <c r="Q70" s="3"/>
      <c r="R70" s="3"/>
      <c r="S70" s="3"/>
      <c r="T70" s="3"/>
      <c r="U70" s="88"/>
      <c r="V70" s="88"/>
      <c r="W70" s="3"/>
      <c r="X70" s="3"/>
      <c r="Y70" s="3"/>
    </row>
    <row r="71" spans="1:25" x14ac:dyDescent="0.25">
      <c r="A71" s="93">
        <v>3</v>
      </c>
      <c r="B71" s="96" t="s">
        <v>322</v>
      </c>
      <c r="C71" s="97">
        <f>IRR(C63:R63)</f>
        <v>0.10996045719699588</v>
      </c>
      <c r="D71" s="3"/>
      <c r="E71" s="3"/>
      <c r="F71" s="3"/>
      <c r="G71" s="3"/>
      <c r="H71" s="3"/>
      <c r="I71" s="3"/>
      <c r="J71" s="3"/>
      <c r="K71" s="3"/>
      <c r="L71" s="3"/>
      <c r="M71" s="3"/>
      <c r="N71" s="3"/>
      <c r="O71" s="3"/>
      <c r="P71" s="3"/>
      <c r="Q71" s="3"/>
      <c r="R71" s="3"/>
      <c r="S71" s="3"/>
      <c r="T71" s="3"/>
      <c r="U71" s="88"/>
      <c r="V71" s="88"/>
      <c r="W71" s="3"/>
      <c r="X71" s="3"/>
      <c r="Y71" s="3"/>
    </row>
    <row r="72" spans="1:25" x14ac:dyDescent="0.25">
      <c r="A72" s="2"/>
      <c r="B72" s="2"/>
      <c r="C72" s="2"/>
      <c r="D72" s="3"/>
      <c r="E72" s="3"/>
      <c r="F72" s="3"/>
      <c r="G72" s="3"/>
      <c r="H72" s="3"/>
      <c r="I72" s="3"/>
      <c r="J72" s="3"/>
      <c r="K72" s="3"/>
      <c r="L72" s="3"/>
      <c r="M72" s="3"/>
      <c r="N72" s="3"/>
      <c r="O72" s="3"/>
      <c r="P72" s="3"/>
      <c r="Q72" s="3"/>
      <c r="R72" s="3"/>
      <c r="S72" s="3"/>
      <c r="T72" s="3"/>
      <c r="U72" s="88"/>
      <c r="V72" s="88"/>
      <c r="W72" s="3"/>
      <c r="X72" s="3"/>
      <c r="Y72" s="3"/>
    </row>
    <row r="73" spans="1:25" x14ac:dyDescent="0.25">
      <c r="A73" s="2"/>
      <c r="B73" s="98" t="s">
        <v>94</v>
      </c>
      <c r="C73" s="99">
        <v>0.1</v>
      </c>
      <c r="D73" s="3"/>
      <c r="E73" s="3"/>
      <c r="F73" s="3"/>
      <c r="G73" s="3"/>
      <c r="H73" s="3"/>
      <c r="I73" s="3"/>
      <c r="J73" s="3"/>
      <c r="K73" s="3"/>
      <c r="L73" s="3"/>
      <c r="M73" s="3"/>
      <c r="N73" s="3"/>
      <c r="O73" s="3"/>
      <c r="P73" s="3"/>
      <c r="Q73" s="3"/>
      <c r="R73" s="3"/>
      <c r="S73" s="3"/>
      <c r="T73" s="3"/>
      <c r="U73" s="68"/>
      <c r="V73" s="68"/>
      <c r="W73" s="3"/>
      <c r="X73" s="3"/>
      <c r="Y73" s="3"/>
    </row>
    <row r="74" spans="1:25" x14ac:dyDescent="0.25">
      <c r="A74" s="3"/>
      <c r="B74" s="3"/>
      <c r="C74" s="3"/>
      <c r="D74" s="3"/>
      <c r="E74" s="3"/>
      <c r="F74" s="3"/>
      <c r="G74" s="3"/>
      <c r="H74" s="3"/>
      <c r="I74" s="3"/>
      <c r="J74" s="3"/>
      <c r="K74" s="3"/>
      <c r="L74" s="3"/>
      <c r="M74" s="3"/>
      <c r="N74" s="3"/>
      <c r="O74" s="3"/>
      <c r="P74" s="3"/>
      <c r="Q74" s="3"/>
      <c r="R74" s="3"/>
      <c r="S74" s="3"/>
      <c r="T74" s="3"/>
      <c r="U74" s="3"/>
      <c r="V74" s="3"/>
      <c r="W74" s="3"/>
      <c r="X74" s="3"/>
      <c r="Y74" s="3"/>
    </row>
    <row r="75" spans="1:25"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row>
    <row r="76" spans="1:25" x14ac:dyDescent="0.25">
      <c r="A76" s="44"/>
      <c r="B76" s="44"/>
      <c r="C76" s="44"/>
      <c r="D76" s="44"/>
      <c r="E76" s="44"/>
      <c r="F76" s="44"/>
      <c r="G76" s="44"/>
      <c r="H76" s="44"/>
      <c r="I76" s="44"/>
      <c r="J76" s="44"/>
      <c r="K76" s="44"/>
      <c r="L76" s="44"/>
      <c r="M76" s="44"/>
      <c r="N76" s="44"/>
      <c r="O76" s="44"/>
      <c r="P76" s="44"/>
      <c r="Q76" s="44"/>
      <c r="R76" s="44"/>
      <c r="S76" s="44"/>
      <c r="T76" s="44"/>
      <c r="U76" s="44"/>
      <c r="V76" s="44"/>
      <c r="W76" s="44"/>
      <c r="X76" s="44"/>
      <c r="Y76" s="44"/>
    </row>
  </sheetData>
  <mergeCells count="22">
    <mergeCell ref="A55:R55"/>
    <mergeCell ref="B64:H64"/>
    <mergeCell ref="A67:C67"/>
    <mergeCell ref="B35:T35"/>
    <mergeCell ref="B40:T40"/>
    <mergeCell ref="T28:Y28"/>
    <mergeCell ref="B30:D30"/>
    <mergeCell ref="A33:T33"/>
    <mergeCell ref="B48:I48"/>
    <mergeCell ref="A21:B21"/>
    <mergeCell ref="A25:I25"/>
    <mergeCell ref="A26:A27"/>
    <mergeCell ref="B26:B27"/>
    <mergeCell ref="C26:C27"/>
    <mergeCell ref="D26:D27"/>
    <mergeCell ref="E27:I27"/>
    <mergeCell ref="B18:D18"/>
    <mergeCell ref="A1:H1"/>
    <mergeCell ref="A7:D7"/>
    <mergeCell ref="F7:G7"/>
    <mergeCell ref="B9:D9"/>
    <mergeCell ref="B15:D15"/>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89"/>
  <sheetViews>
    <sheetView topLeftCell="A20" workbookViewId="0">
      <selection activeCell="D44" sqref="D44"/>
    </sheetView>
  </sheetViews>
  <sheetFormatPr baseColWidth="10" defaultColWidth="10.85546875" defaultRowHeight="15" x14ac:dyDescent="0.25"/>
  <cols>
    <col min="1" max="1" width="10.85546875" style="3"/>
    <col min="2" max="2" width="37.85546875" style="3" customWidth="1"/>
    <col min="3" max="3" width="18.85546875" style="3" customWidth="1"/>
    <col min="4" max="4" width="48.42578125" style="3" customWidth="1"/>
    <col min="5" max="5" width="18" style="3" customWidth="1"/>
    <col min="6" max="6" width="17.140625" style="3" customWidth="1"/>
    <col min="7" max="7" width="17" style="3" customWidth="1"/>
    <col min="8" max="8" width="23.28515625" style="3" customWidth="1"/>
    <col min="9" max="9" width="23" style="3" customWidth="1"/>
    <col min="10" max="10" width="32.7109375" style="3" customWidth="1"/>
    <col min="11" max="16384" width="10.85546875" style="3"/>
  </cols>
  <sheetData>
    <row r="1" spans="1:12" ht="21" x14ac:dyDescent="0.25">
      <c r="A1" s="175" t="s">
        <v>229</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c r="B6" s="5"/>
      <c r="C6" s="1"/>
      <c r="D6" s="1"/>
      <c r="E6" s="1"/>
      <c r="F6" s="11"/>
      <c r="G6" s="5"/>
      <c r="H6" s="1"/>
      <c r="I6" s="1"/>
      <c r="J6" s="2"/>
      <c r="K6" s="2"/>
      <c r="L6" s="2"/>
    </row>
    <row r="7" spans="1:12" ht="15.75" x14ac:dyDescent="0.25">
      <c r="A7" s="182" t="s">
        <v>6</v>
      </c>
      <c r="B7" s="183"/>
      <c r="C7" s="183"/>
      <c r="D7" s="184"/>
      <c r="E7" s="1"/>
      <c r="F7" s="176"/>
      <c r="G7" s="176"/>
      <c r="H7" s="2"/>
    </row>
    <row r="8" spans="1:12" s="18" customFormat="1" ht="47.25" customHeight="1" x14ac:dyDescent="0.25">
      <c r="A8" s="12" t="s">
        <v>325</v>
      </c>
      <c r="B8" s="13"/>
      <c r="C8" s="14" t="s">
        <v>8</v>
      </c>
      <c r="D8" s="15" t="s">
        <v>9</v>
      </c>
      <c r="E8" s="16"/>
      <c r="F8" s="125"/>
      <c r="G8" s="17" t="s">
        <v>10</v>
      </c>
      <c r="H8" s="16"/>
    </row>
    <row r="9" spans="1:12" x14ac:dyDescent="0.25">
      <c r="A9" s="19" t="s">
        <v>11</v>
      </c>
      <c r="B9" s="172" t="s">
        <v>12</v>
      </c>
      <c r="C9" s="173"/>
      <c r="D9" s="174"/>
      <c r="E9" s="2"/>
      <c r="F9" s="20"/>
      <c r="G9" s="21" t="s">
        <v>13</v>
      </c>
      <c r="H9" s="2"/>
    </row>
    <row r="10" spans="1:12" ht="41.25" customHeight="1" x14ac:dyDescent="0.25">
      <c r="A10" s="22">
        <v>1</v>
      </c>
      <c r="B10" s="23" t="s">
        <v>14</v>
      </c>
      <c r="C10" s="24">
        <v>35301600</v>
      </c>
      <c r="D10" s="23" t="s">
        <v>359</v>
      </c>
      <c r="E10" s="2"/>
      <c r="F10" s="25">
        <v>0.1</v>
      </c>
      <c r="G10" s="26">
        <f>C10*(1-F10)^5</f>
        <v>20845241.784000006</v>
      </c>
      <c r="H10" s="2"/>
    </row>
    <row r="11" spans="1:12" ht="30.75" customHeight="1" x14ac:dyDescent="0.25">
      <c r="A11" s="27">
        <v>2</v>
      </c>
      <c r="B11" s="23" t="s">
        <v>15</v>
      </c>
      <c r="C11" s="24">
        <v>23500000</v>
      </c>
      <c r="D11" s="23" t="s">
        <v>360</v>
      </c>
      <c r="E11" s="2"/>
      <c r="F11" s="25">
        <v>0.05</v>
      </c>
      <c r="G11" s="26">
        <f>C11*(1-F11)^5</f>
        <v>18183852.03125</v>
      </c>
      <c r="H11" s="2"/>
    </row>
    <row r="12" spans="1:12" ht="67.5" customHeight="1" x14ac:dyDescent="0.25">
      <c r="A12" s="27">
        <v>3</v>
      </c>
      <c r="B12" s="23" t="s">
        <v>354</v>
      </c>
      <c r="C12" s="24">
        <v>147960000</v>
      </c>
      <c r="D12" s="23" t="s">
        <v>355</v>
      </c>
      <c r="E12" s="2"/>
      <c r="F12" s="25">
        <v>0.2</v>
      </c>
      <c r="G12" s="26">
        <f>C12*(1-F12)^5</f>
        <v>48483532.800000027</v>
      </c>
      <c r="H12" s="2"/>
    </row>
    <row r="13" spans="1:12" ht="35.25" customHeight="1" x14ac:dyDescent="0.25">
      <c r="A13" s="27">
        <v>4</v>
      </c>
      <c r="B13" s="23" t="s">
        <v>230</v>
      </c>
      <c r="C13" s="24">
        <v>4000000</v>
      </c>
      <c r="D13" s="23" t="s">
        <v>231</v>
      </c>
      <c r="E13" s="2"/>
      <c r="F13" s="25">
        <v>0.05</v>
      </c>
      <c r="G13" s="26">
        <f>C13*(1-F13)^5</f>
        <v>3095123.75</v>
      </c>
      <c r="H13" s="2"/>
    </row>
    <row r="14" spans="1:12" ht="31.5" customHeight="1" x14ac:dyDescent="0.25">
      <c r="A14" s="27">
        <v>5</v>
      </c>
      <c r="B14" s="23" t="s">
        <v>168</v>
      </c>
      <c r="C14" s="24">
        <v>77112000</v>
      </c>
      <c r="D14" s="23" t="s">
        <v>232</v>
      </c>
      <c r="E14" s="2"/>
      <c r="F14" s="25">
        <v>0.2</v>
      </c>
      <c r="G14" s="26">
        <f>C14*(1-F14)^5</f>
        <v>25268060.160000015</v>
      </c>
      <c r="H14" s="2"/>
    </row>
    <row r="15" spans="1:12" x14ac:dyDescent="0.25">
      <c r="A15" s="29"/>
      <c r="B15" s="30"/>
      <c r="C15" s="31">
        <f>SUM(C10:C14)</f>
        <v>287873600</v>
      </c>
      <c r="D15" s="32"/>
      <c r="E15" s="2"/>
      <c r="F15" s="33"/>
      <c r="G15" s="34" t="s">
        <v>18</v>
      </c>
      <c r="H15" s="2"/>
    </row>
    <row r="16" spans="1:12" x14ac:dyDescent="0.25">
      <c r="A16" s="19" t="s">
        <v>11</v>
      </c>
      <c r="B16" s="177" t="s">
        <v>326</v>
      </c>
      <c r="C16" s="177"/>
      <c r="D16" s="177"/>
      <c r="E16" s="2"/>
      <c r="F16" s="20"/>
      <c r="G16" s="35"/>
      <c r="H16" s="2"/>
    </row>
    <row r="17" spans="1:15" x14ac:dyDescent="0.25">
      <c r="A17" s="22">
        <v>1</v>
      </c>
      <c r="B17" s="23"/>
      <c r="C17" s="24"/>
      <c r="D17" s="23" t="s">
        <v>18</v>
      </c>
      <c r="E17" s="2"/>
      <c r="F17" s="33"/>
      <c r="G17" s="34" t="s">
        <v>18</v>
      </c>
      <c r="H17" s="2"/>
    </row>
    <row r="18" spans="1:15" x14ac:dyDescent="0.25">
      <c r="A18" s="22">
        <v>2</v>
      </c>
      <c r="B18" s="36"/>
      <c r="C18" s="37">
        <f>SUM(C17)</f>
        <v>0</v>
      </c>
      <c r="D18" s="38"/>
      <c r="E18" s="39"/>
      <c r="F18" s="33"/>
      <c r="G18" s="34" t="s">
        <v>18</v>
      </c>
      <c r="H18" s="2"/>
    </row>
    <row r="19" spans="1:15" ht="15.75" customHeight="1" x14ac:dyDescent="0.25">
      <c r="A19" s="19" t="s">
        <v>11</v>
      </c>
      <c r="B19" s="172" t="s">
        <v>22</v>
      </c>
      <c r="C19" s="173"/>
      <c r="D19" s="174"/>
      <c r="E19" s="2"/>
      <c r="F19" s="20"/>
      <c r="G19" s="35"/>
      <c r="H19" s="2"/>
    </row>
    <row r="20" spans="1:15" ht="15.75" customHeight="1" x14ac:dyDescent="0.25">
      <c r="A20" s="22">
        <v>1</v>
      </c>
      <c r="B20" s="23" t="s">
        <v>233</v>
      </c>
      <c r="C20" s="24">
        <v>3750000</v>
      </c>
      <c r="D20" s="40" t="s">
        <v>234</v>
      </c>
      <c r="E20" s="2"/>
      <c r="F20" s="33"/>
      <c r="G20" s="34" t="s">
        <v>18</v>
      </c>
      <c r="H20" s="2"/>
    </row>
    <row r="21" spans="1:15" ht="17.25" customHeight="1" x14ac:dyDescent="0.25">
      <c r="A21" s="22">
        <v>2</v>
      </c>
      <c r="B21" s="23" t="s">
        <v>235</v>
      </c>
      <c r="C21" s="24">
        <v>6060000</v>
      </c>
      <c r="D21" s="40" t="s">
        <v>18</v>
      </c>
      <c r="E21" s="2"/>
      <c r="F21" s="33"/>
      <c r="G21" s="34" t="s">
        <v>18</v>
      </c>
      <c r="H21" s="2"/>
    </row>
    <row r="22" spans="1:15" x14ac:dyDescent="0.25">
      <c r="A22" s="165"/>
      <c r="B22" s="166"/>
      <c r="C22" s="41">
        <f>SUM(C20:C21)</f>
        <v>9810000</v>
      </c>
      <c r="E22" s="42"/>
      <c r="F22" s="33"/>
      <c r="G22" s="43">
        <f>SUM(G10:G21)</f>
        <v>115875810.52525005</v>
      </c>
      <c r="I22" s="2"/>
    </row>
    <row r="23" spans="1:15" x14ac:dyDescent="0.25">
      <c r="A23" s="44"/>
      <c r="B23" s="45" t="s">
        <v>26</v>
      </c>
      <c r="C23" s="46">
        <f>SUM(C15+C18+C22)</f>
        <v>297683600</v>
      </c>
      <c r="G23" s="2"/>
      <c r="H23" s="2"/>
      <c r="I23" s="2"/>
      <c r="J23" s="2"/>
      <c r="K23" s="2"/>
    </row>
    <row r="24" spans="1:15" x14ac:dyDescent="0.25">
      <c r="A24" s="47"/>
      <c r="B24" s="48"/>
      <c r="C24" s="42"/>
      <c r="D24" s="49"/>
      <c r="E24" s="50"/>
      <c r="F24" s="50"/>
      <c r="G24" s="51"/>
      <c r="H24" s="52"/>
      <c r="I24" s="2"/>
      <c r="J24" s="2"/>
      <c r="K24" s="2"/>
      <c r="L24" s="2"/>
    </row>
    <row r="25" spans="1:15" x14ac:dyDescent="0.25">
      <c r="A25" s="1"/>
      <c r="B25" s="48"/>
      <c r="C25" s="1"/>
      <c r="D25" s="1"/>
      <c r="E25" s="1"/>
      <c r="F25" s="1"/>
      <c r="G25" s="1"/>
      <c r="H25" s="2"/>
      <c r="I25" s="1"/>
      <c r="J25" s="2"/>
      <c r="K25" s="2"/>
      <c r="L25" s="2"/>
    </row>
    <row r="26" spans="1:15" ht="15.75" x14ac:dyDescent="0.25">
      <c r="A26" s="182" t="s">
        <v>27</v>
      </c>
      <c r="B26" s="183"/>
      <c r="C26" s="183"/>
      <c r="D26" s="183"/>
      <c r="E26" s="183"/>
      <c r="F26" s="183"/>
      <c r="G26" s="183"/>
      <c r="H26" s="183"/>
      <c r="I26" s="184"/>
      <c r="J26" s="54"/>
      <c r="K26" s="54"/>
      <c r="L26" s="54"/>
      <c r="M26" s="54"/>
      <c r="N26" s="54"/>
    </row>
    <row r="27" spans="1:15" x14ac:dyDescent="0.25">
      <c r="A27" s="167" t="s">
        <v>11</v>
      </c>
      <c r="B27" s="167" t="s">
        <v>28</v>
      </c>
      <c r="C27" s="167" t="s">
        <v>236</v>
      </c>
      <c r="D27" s="167" t="s">
        <v>220</v>
      </c>
      <c r="E27" s="55" t="s">
        <v>31</v>
      </c>
      <c r="F27" s="56" t="s">
        <v>32</v>
      </c>
      <c r="G27" s="56" t="s">
        <v>33</v>
      </c>
      <c r="H27" s="56" t="s">
        <v>34</v>
      </c>
      <c r="I27" s="56" t="s">
        <v>35</v>
      </c>
      <c r="J27" s="11"/>
      <c r="M27" s="2"/>
      <c r="N27" s="2"/>
    </row>
    <row r="28" spans="1:15" x14ac:dyDescent="0.25">
      <c r="A28" s="168"/>
      <c r="B28" s="168"/>
      <c r="C28" s="168"/>
      <c r="D28" s="168"/>
      <c r="E28" s="169" t="s">
        <v>39</v>
      </c>
      <c r="F28" s="170"/>
      <c r="G28" s="170"/>
      <c r="H28" s="170"/>
      <c r="I28" s="171"/>
      <c r="J28" s="58"/>
      <c r="K28" s="2"/>
      <c r="L28" s="2"/>
    </row>
    <row r="29" spans="1:15" ht="18.75" customHeight="1" x14ac:dyDescent="0.25">
      <c r="A29" s="59">
        <v>1</v>
      </c>
      <c r="B29" s="60" t="s">
        <v>237</v>
      </c>
      <c r="C29" s="10">
        <f>400*12*26</f>
        <v>124800</v>
      </c>
      <c r="D29" s="126">
        <v>2000</v>
      </c>
      <c r="E29" s="62">
        <f>C29*D29*0.6</f>
        <v>149760000</v>
      </c>
      <c r="F29" s="128">
        <f t="shared" ref="F29:I32" si="0">$D29*$C29*0.6</f>
        <v>149760000</v>
      </c>
      <c r="G29" s="128">
        <f t="shared" si="0"/>
        <v>149760000</v>
      </c>
      <c r="H29" s="128">
        <f t="shared" si="0"/>
        <v>149760000</v>
      </c>
      <c r="I29" s="128">
        <f t="shared" si="0"/>
        <v>149760000</v>
      </c>
      <c r="J29" s="154" t="s">
        <v>333</v>
      </c>
      <c r="K29" s="155"/>
      <c r="L29" s="155"/>
      <c r="M29" s="155"/>
      <c r="N29" s="155"/>
      <c r="O29" s="155"/>
    </row>
    <row r="30" spans="1:15" ht="18.75" customHeight="1" x14ac:dyDescent="0.25">
      <c r="A30" s="59">
        <v>2</v>
      </c>
      <c r="B30" s="60" t="s">
        <v>238</v>
      </c>
      <c r="C30" s="10">
        <f>500*26*12</f>
        <v>156000</v>
      </c>
      <c r="D30" s="126">
        <v>150</v>
      </c>
      <c r="E30" s="62">
        <f>C30*D30*0.6</f>
        <v>14040000</v>
      </c>
      <c r="F30" s="128">
        <f t="shared" si="0"/>
        <v>14040000</v>
      </c>
      <c r="G30" s="128">
        <f t="shared" si="0"/>
        <v>14040000</v>
      </c>
      <c r="H30" s="128">
        <f t="shared" si="0"/>
        <v>14040000</v>
      </c>
      <c r="I30" s="128">
        <f t="shared" si="0"/>
        <v>14040000</v>
      </c>
      <c r="J30" s="123"/>
      <c r="K30" s="124"/>
      <c r="L30" s="124"/>
      <c r="M30" s="124"/>
      <c r="N30" s="124"/>
      <c r="O30" s="124"/>
    </row>
    <row r="31" spans="1:15" x14ac:dyDescent="0.25">
      <c r="A31" s="59">
        <v>3</v>
      </c>
      <c r="B31" s="60" t="s">
        <v>239</v>
      </c>
      <c r="C31" s="10">
        <f>250*12*26</f>
        <v>78000</v>
      </c>
      <c r="D31" s="126">
        <v>1400</v>
      </c>
      <c r="E31" s="62">
        <f>C31*D31*0.6</f>
        <v>65520000</v>
      </c>
      <c r="F31" s="128">
        <f t="shared" si="0"/>
        <v>65520000</v>
      </c>
      <c r="G31" s="128">
        <f t="shared" si="0"/>
        <v>65520000</v>
      </c>
      <c r="H31" s="128">
        <f t="shared" si="0"/>
        <v>65520000</v>
      </c>
      <c r="I31" s="128">
        <f t="shared" si="0"/>
        <v>65520000</v>
      </c>
      <c r="J31" s="123"/>
      <c r="K31" s="1"/>
      <c r="L31" s="2"/>
      <c r="M31" s="2"/>
      <c r="N31" s="2"/>
    </row>
    <row r="32" spans="1:15" ht="15" customHeight="1" x14ac:dyDescent="0.25">
      <c r="A32" s="107">
        <v>4</v>
      </c>
      <c r="B32" s="60" t="s">
        <v>240</v>
      </c>
      <c r="C32" s="10">
        <f>3*26*12</f>
        <v>936</v>
      </c>
      <c r="D32" s="126">
        <v>5000</v>
      </c>
      <c r="E32" s="62">
        <f>C32*D32*0.6</f>
        <v>2808000</v>
      </c>
      <c r="F32" s="128">
        <f t="shared" si="0"/>
        <v>2808000</v>
      </c>
      <c r="G32" s="128">
        <f t="shared" si="0"/>
        <v>2808000</v>
      </c>
      <c r="H32" s="128">
        <f t="shared" si="0"/>
        <v>2808000</v>
      </c>
      <c r="I32" s="128">
        <f t="shared" si="0"/>
        <v>2808000</v>
      </c>
      <c r="K32" s="66"/>
      <c r="L32" s="66"/>
      <c r="M32" s="2"/>
      <c r="N32" s="2"/>
    </row>
    <row r="33" spans="1:14" ht="15" customHeight="1" x14ac:dyDescent="0.25">
      <c r="A33" s="5"/>
      <c r="B33" s="156" t="s">
        <v>43</v>
      </c>
      <c r="C33" s="157"/>
      <c r="D33" s="158"/>
      <c r="E33" s="46">
        <f>SUM(E29:E32)</f>
        <v>232128000</v>
      </c>
      <c r="F33" s="46">
        <f>SUM(F29:F32)</f>
        <v>232128000</v>
      </c>
      <c r="G33" s="46">
        <f t="shared" ref="G33:H33" si="1">SUM(G29:G32)</f>
        <v>232128000</v>
      </c>
      <c r="H33" s="46">
        <f t="shared" si="1"/>
        <v>232128000</v>
      </c>
      <c r="I33" s="46">
        <f>SUM(I29:I32)</f>
        <v>232128000</v>
      </c>
      <c r="J33" s="66"/>
      <c r="K33" s="2"/>
      <c r="L33" s="2"/>
    </row>
    <row r="34" spans="1:14" x14ac:dyDescent="0.25">
      <c r="A34" s="2"/>
      <c r="B34" s="48" t="s">
        <v>356</v>
      </c>
      <c r="C34" s="67"/>
      <c r="D34" s="68"/>
      <c r="E34" s="68"/>
      <c r="F34" s="68"/>
      <c r="G34" s="68"/>
      <c r="H34" s="68"/>
      <c r="I34" s="1"/>
      <c r="J34" s="11"/>
      <c r="K34" s="66"/>
      <c r="L34" s="66"/>
      <c r="M34" s="2"/>
      <c r="N34" s="2"/>
    </row>
    <row r="35" spans="1:14" x14ac:dyDescent="0.25">
      <c r="A35" s="2"/>
      <c r="B35" s="69"/>
      <c r="C35" s="67"/>
      <c r="D35" s="68"/>
      <c r="E35" s="68"/>
      <c r="F35" s="68"/>
      <c r="G35" s="68"/>
      <c r="H35" s="68"/>
      <c r="I35" s="1"/>
      <c r="J35" s="11"/>
      <c r="M35" s="2"/>
      <c r="N35" s="2"/>
    </row>
    <row r="36" spans="1:14" ht="15.75" x14ac:dyDescent="0.25">
      <c r="A36" s="185" t="s">
        <v>44</v>
      </c>
      <c r="B36" s="186"/>
      <c r="C36" s="186"/>
      <c r="D36" s="186"/>
      <c r="E36" s="186"/>
      <c r="F36" s="186"/>
      <c r="G36" s="186"/>
      <c r="H36" s="186"/>
      <c r="I36" s="186"/>
      <c r="J36" s="187"/>
      <c r="K36" s="54"/>
      <c r="L36" s="54"/>
      <c r="M36" s="54"/>
      <c r="N36" s="44"/>
    </row>
    <row r="37" spans="1:14" ht="15" customHeight="1" x14ac:dyDescent="0.25">
      <c r="A37" s="56" t="s">
        <v>11</v>
      </c>
      <c r="B37" s="70" t="s">
        <v>325</v>
      </c>
      <c r="C37" s="71" t="s">
        <v>328</v>
      </c>
      <c r="D37" s="71" t="s">
        <v>329</v>
      </c>
      <c r="E37" s="55" t="s">
        <v>31</v>
      </c>
      <c r="F37" s="56" t="s">
        <v>32</v>
      </c>
      <c r="G37" s="56" t="s">
        <v>33</v>
      </c>
      <c r="H37" s="56" t="s">
        <v>34</v>
      </c>
      <c r="I37" s="56" t="s">
        <v>35</v>
      </c>
      <c r="J37" s="14" t="s">
        <v>9</v>
      </c>
    </row>
    <row r="38" spans="1:14" ht="15" customHeight="1" x14ac:dyDescent="0.25">
      <c r="A38" s="101"/>
      <c r="B38" s="194" t="s">
        <v>47</v>
      </c>
      <c r="C38" s="194"/>
      <c r="D38" s="194"/>
      <c r="E38" s="194"/>
      <c r="F38" s="194"/>
      <c r="G38" s="194"/>
      <c r="H38" s="194"/>
      <c r="I38" s="195"/>
      <c r="J38" s="73"/>
    </row>
    <row r="39" spans="1:14" x14ac:dyDescent="0.25">
      <c r="A39" s="59" t="s">
        <v>48</v>
      </c>
      <c r="B39" s="74" t="s">
        <v>241</v>
      </c>
      <c r="C39" s="9">
        <v>1200</v>
      </c>
      <c r="D39" s="127">
        <v>2500</v>
      </c>
      <c r="E39" s="75">
        <f t="shared" ref="E39:E55" si="2">C39*D39</f>
        <v>3000000</v>
      </c>
      <c r="F39" s="75">
        <f>E39*(1+$G$3)</f>
        <v>3104999.9999999995</v>
      </c>
      <c r="G39" s="75">
        <f>F39*(1+$G$3)</f>
        <v>3213674.9999999991</v>
      </c>
      <c r="H39" s="75">
        <f>G39*(1+$G$3)</f>
        <v>3326153.6249999986</v>
      </c>
      <c r="I39" s="75">
        <f>H39*(1+$G$3)</f>
        <v>3442569.0018749982</v>
      </c>
      <c r="J39" s="10"/>
      <c r="K39" s="2"/>
      <c r="L39" s="2"/>
      <c r="M39" s="2"/>
    </row>
    <row r="40" spans="1:14" x14ac:dyDescent="0.25">
      <c r="A40" s="59" t="s">
        <v>51</v>
      </c>
      <c r="B40" s="74" t="s">
        <v>242</v>
      </c>
      <c r="C40" s="9">
        <v>1</v>
      </c>
      <c r="D40" s="127">
        <f>(192*32130)+(800000)</f>
        <v>6968960</v>
      </c>
      <c r="E40" s="75">
        <f t="shared" si="2"/>
        <v>6968960</v>
      </c>
      <c r="F40" s="75">
        <f>E40*(1+$G$3)</f>
        <v>7212873.5999999996</v>
      </c>
      <c r="G40" s="75">
        <f>F40*(1+$G$3)</f>
        <v>7465324.175999999</v>
      </c>
      <c r="H40" s="75">
        <f t="shared" ref="H40:I42" si="3">G40*(1+$G$3)</f>
        <v>7726610.5221599983</v>
      </c>
      <c r="I40" s="75">
        <f t="shared" si="3"/>
        <v>7997041.8904355979</v>
      </c>
      <c r="J40" s="10"/>
      <c r="K40" s="2"/>
      <c r="L40" s="2"/>
      <c r="M40" s="2"/>
    </row>
    <row r="41" spans="1:14" x14ac:dyDescent="0.25">
      <c r="A41" s="59" t="s">
        <v>54</v>
      </c>
      <c r="B41" s="74" t="s">
        <v>243</v>
      </c>
      <c r="C41" s="9">
        <v>1</v>
      </c>
      <c r="D41" s="127">
        <v>200000</v>
      </c>
      <c r="E41" s="75">
        <f t="shared" si="2"/>
        <v>200000</v>
      </c>
      <c r="F41" s="75">
        <f t="shared" ref="F41:G42" si="4">E41*(1+$G$3)</f>
        <v>206999.99999999997</v>
      </c>
      <c r="G41" s="75">
        <f t="shared" si="4"/>
        <v>214244.99999999994</v>
      </c>
      <c r="H41" s="75">
        <f t="shared" si="3"/>
        <v>221743.57499999992</v>
      </c>
      <c r="I41" s="75">
        <f t="shared" si="3"/>
        <v>229504.60012499991</v>
      </c>
      <c r="J41" s="10"/>
      <c r="K41" s="2"/>
      <c r="L41" s="2"/>
      <c r="M41" s="2"/>
    </row>
    <row r="42" spans="1:14" x14ac:dyDescent="0.25">
      <c r="A42" s="59" t="s">
        <v>57</v>
      </c>
      <c r="B42" s="74" t="s">
        <v>244</v>
      </c>
      <c r="C42" s="9">
        <v>1</v>
      </c>
      <c r="D42" s="127">
        <v>3600000</v>
      </c>
      <c r="E42" s="75">
        <f t="shared" si="2"/>
        <v>3600000</v>
      </c>
      <c r="F42" s="75">
        <f t="shared" si="4"/>
        <v>3725999.9999999995</v>
      </c>
      <c r="G42" s="75">
        <f t="shared" si="4"/>
        <v>3856409.9999999991</v>
      </c>
      <c r="H42" s="75">
        <f t="shared" si="3"/>
        <v>3991384.3499999987</v>
      </c>
      <c r="I42" s="75">
        <f t="shared" si="3"/>
        <v>4131082.8022499983</v>
      </c>
      <c r="J42" s="10"/>
      <c r="K42" s="2"/>
      <c r="L42" s="2"/>
      <c r="M42" s="2"/>
    </row>
    <row r="43" spans="1:14" x14ac:dyDescent="0.25">
      <c r="A43" s="59" t="s">
        <v>66</v>
      </c>
      <c r="B43" s="74" t="s">
        <v>245</v>
      </c>
      <c r="C43" s="9">
        <v>1</v>
      </c>
      <c r="D43" s="127">
        <v>6000000</v>
      </c>
      <c r="E43" s="75">
        <f t="shared" si="2"/>
        <v>6000000</v>
      </c>
      <c r="F43" s="75">
        <f>D43*C43</f>
        <v>6000000</v>
      </c>
      <c r="G43" s="75">
        <f>F43*(1+$G$3)</f>
        <v>6209999.9999999991</v>
      </c>
      <c r="H43" s="75">
        <f>G43*(1+$G$3)</f>
        <v>6427349.9999999981</v>
      </c>
      <c r="I43" s="75">
        <f>H43*(1+$G$3)</f>
        <v>6652307.2499999972</v>
      </c>
      <c r="J43" s="10"/>
      <c r="K43" s="2"/>
    </row>
    <row r="44" spans="1:14" x14ac:dyDescent="0.25">
      <c r="A44" s="59" t="s">
        <v>69</v>
      </c>
      <c r="B44" s="60" t="s">
        <v>246</v>
      </c>
      <c r="C44" s="9">
        <v>1</v>
      </c>
      <c r="D44" s="127">
        <f>800000+1000000+3000000</f>
        <v>4800000</v>
      </c>
      <c r="E44" s="75">
        <f t="shared" si="2"/>
        <v>4800000</v>
      </c>
      <c r="F44" s="75">
        <f t="shared" ref="F44:F45" si="5">D44*C44</f>
        <v>4800000</v>
      </c>
      <c r="G44" s="75">
        <f t="shared" ref="G44:G45" si="6">F44*(1+$G$3)</f>
        <v>4968000</v>
      </c>
      <c r="H44" s="75">
        <f>G44*(1+$G$3)</f>
        <v>5141880</v>
      </c>
      <c r="I44" s="75">
        <f t="shared" ref="I44:I45" si="7">H44*(1+$G$3)</f>
        <v>5321845.8</v>
      </c>
      <c r="J44" s="10"/>
      <c r="K44" s="2"/>
    </row>
    <row r="45" spans="1:14" x14ac:dyDescent="0.25">
      <c r="A45" s="59" t="s">
        <v>72</v>
      </c>
      <c r="B45" s="60" t="s">
        <v>357</v>
      </c>
      <c r="C45" s="9">
        <v>12</v>
      </c>
      <c r="D45" s="127">
        <f>500000+(400000/4)</f>
        <v>600000</v>
      </c>
      <c r="E45" s="75">
        <f t="shared" si="2"/>
        <v>7200000</v>
      </c>
      <c r="F45" s="75">
        <f t="shared" si="5"/>
        <v>7200000</v>
      </c>
      <c r="G45" s="75">
        <f t="shared" si="6"/>
        <v>7451999.9999999991</v>
      </c>
      <c r="H45" s="129">
        <f>G45*(1+$G$3)</f>
        <v>7712819.9999999981</v>
      </c>
      <c r="I45" s="75">
        <f t="shared" si="7"/>
        <v>7982768.6999999974</v>
      </c>
      <c r="J45" s="10"/>
      <c r="K45" s="2"/>
    </row>
    <row r="46" spans="1:14" x14ac:dyDescent="0.25">
      <c r="A46" s="59" t="s">
        <v>69</v>
      </c>
      <c r="B46" s="60" t="s">
        <v>247</v>
      </c>
      <c r="C46" s="9">
        <v>1</v>
      </c>
      <c r="D46" s="127">
        <v>500000</v>
      </c>
      <c r="E46" s="75">
        <f t="shared" si="2"/>
        <v>500000</v>
      </c>
      <c r="F46" s="75">
        <f>D46*C46</f>
        <v>500000</v>
      </c>
      <c r="G46" s="75">
        <f>F46*(1+$G$3)</f>
        <v>517499.99999999994</v>
      </c>
      <c r="H46" s="75">
        <f t="shared" ref="H46:I46" si="8">G46</f>
        <v>517499.99999999994</v>
      </c>
      <c r="I46" s="75">
        <f t="shared" si="8"/>
        <v>517499.99999999994</v>
      </c>
      <c r="J46" s="10"/>
      <c r="K46" s="2"/>
    </row>
    <row r="47" spans="1:14" x14ac:dyDescent="0.25">
      <c r="A47" s="56">
        <v>2</v>
      </c>
      <c r="B47" s="140" t="s">
        <v>60</v>
      </c>
      <c r="C47" s="141"/>
      <c r="D47" s="141"/>
      <c r="E47" s="141"/>
      <c r="F47" s="141"/>
      <c r="G47" s="141"/>
      <c r="H47" s="141"/>
      <c r="I47" s="142"/>
      <c r="J47" s="77"/>
      <c r="K47" s="2"/>
    </row>
    <row r="48" spans="1:14" x14ac:dyDescent="0.25">
      <c r="A48" s="59" t="s">
        <v>48</v>
      </c>
      <c r="B48" s="78" t="s">
        <v>248</v>
      </c>
      <c r="C48" s="9">
        <v>12</v>
      </c>
      <c r="D48" s="127">
        <f>4800000/12</f>
        <v>400000</v>
      </c>
      <c r="E48" s="75">
        <f>C48*D48</f>
        <v>4800000</v>
      </c>
      <c r="F48" s="75">
        <f>E48*(1+$G$3)</f>
        <v>4968000</v>
      </c>
      <c r="G48" s="75">
        <f>F48*(1+$G$3)</f>
        <v>5141880</v>
      </c>
      <c r="H48" s="75">
        <f>G48*(1+$G$3)</f>
        <v>5321845.8</v>
      </c>
      <c r="I48" s="75">
        <f>H48*(1+$G$3)</f>
        <v>5508110.402999999</v>
      </c>
      <c r="J48" s="10"/>
      <c r="K48" s="2"/>
    </row>
    <row r="49" spans="1:12" x14ac:dyDescent="0.25">
      <c r="A49" s="59"/>
      <c r="B49" s="78" t="s">
        <v>249</v>
      </c>
      <c r="C49" s="9">
        <v>12</v>
      </c>
      <c r="D49" s="127">
        <f>14000000/12</f>
        <v>1166666.6666666667</v>
      </c>
      <c r="E49" s="75">
        <f t="shared" ref="E49:E52" si="9">C49*D49</f>
        <v>14000000</v>
      </c>
      <c r="F49" s="75">
        <f t="shared" ref="F49:I52" si="10">E49*(1+$G$3)</f>
        <v>14489999.999999998</v>
      </c>
      <c r="G49" s="75">
        <f t="shared" si="10"/>
        <v>14997149.999999996</v>
      </c>
      <c r="H49" s="75">
        <f t="shared" si="10"/>
        <v>15522050.249999994</v>
      </c>
      <c r="I49" s="75">
        <f t="shared" si="10"/>
        <v>16065322.008749994</v>
      </c>
      <c r="J49" s="10"/>
      <c r="K49" s="2"/>
    </row>
    <row r="50" spans="1:12" x14ac:dyDescent="0.25">
      <c r="A50" s="59"/>
      <c r="B50" s="74" t="s">
        <v>62</v>
      </c>
      <c r="C50" s="9">
        <v>12</v>
      </c>
      <c r="D50" s="127">
        <v>355600</v>
      </c>
      <c r="E50" s="75">
        <f t="shared" si="9"/>
        <v>4267200</v>
      </c>
      <c r="F50" s="75">
        <f t="shared" si="10"/>
        <v>4416552</v>
      </c>
      <c r="G50" s="75">
        <f t="shared" si="10"/>
        <v>4571131.3199999994</v>
      </c>
      <c r="H50" s="75">
        <f t="shared" si="10"/>
        <v>4731120.9161999989</v>
      </c>
      <c r="I50" s="75">
        <f t="shared" si="10"/>
        <v>4896710.1482669981</v>
      </c>
      <c r="J50" s="10"/>
      <c r="K50" s="2"/>
    </row>
    <row r="51" spans="1:12" ht="22.5" customHeight="1" x14ac:dyDescent="0.25">
      <c r="A51" s="56" t="s">
        <v>51</v>
      </c>
      <c r="B51" s="74" t="s">
        <v>358</v>
      </c>
      <c r="C51" s="9">
        <v>12</v>
      </c>
      <c r="D51" s="127">
        <v>1542240</v>
      </c>
      <c r="E51" s="75">
        <f t="shared" si="9"/>
        <v>18506880</v>
      </c>
      <c r="F51" s="75">
        <f>D51*C51</f>
        <v>18506880</v>
      </c>
      <c r="G51" s="75">
        <f t="shared" si="10"/>
        <v>19154620.799999997</v>
      </c>
      <c r="H51" s="75">
        <f t="shared" si="10"/>
        <v>19825032.527999997</v>
      </c>
      <c r="I51" s="75">
        <f t="shared" si="10"/>
        <v>20518908.666479994</v>
      </c>
      <c r="J51" s="10"/>
      <c r="K51" s="2"/>
    </row>
    <row r="52" spans="1:12" ht="15.75" customHeight="1" x14ac:dyDescent="0.25">
      <c r="A52" s="56" t="s">
        <v>54</v>
      </c>
      <c r="B52" s="74" t="s">
        <v>250</v>
      </c>
      <c r="C52" s="9">
        <v>12</v>
      </c>
      <c r="D52" s="127">
        <f>840000+240000+180000+3950000</f>
        <v>5210000</v>
      </c>
      <c r="E52" s="75">
        <f t="shared" si="9"/>
        <v>62520000</v>
      </c>
      <c r="F52" s="75">
        <f>D52*C52</f>
        <v>62520000</v>
      </c>
      <c r="G52" s="75">
        <f t="shared" si="10"/>
        <v>64708199.999999993</v>
      </c>
      <c r="H52" s="75">
        <f t="shared" si="10"/>
        <v>66972986.999999985</v>
      </c>
      <c r="I52" s="75">
        <f t="shared" si="10"/>
        <v>69317041.544999972</v>
      </c>
      <c r="J52" s="10"/>
      <c r="K52" s="2"/>
    </row>
    <row r="53" spans="1:12" x14ac:dyDescent="0.25">
      <c r="A53" s="56">
        <v>3</v>
      </c>
      <c r="B53" s="162" t="s">
        <v>75</v>
      </c>
      <c r="C53" s="163"/>
      <c r="D53" s="163"/>
      <c r="E53" s="163"/>
      <c r="F53" s="163"/>
      <c r="G53" s="163"/>
      <c r="H53" s="163"/>
      <c r="I53" s="164"/>
      <c r="J53" s="77"/>
      <c r="K53" s="2"/>
    </row>
    <row r="54" spans="1:12" ht="31.5" customHeight="1" x14ac:dyDescent="0.25">
      <c r="A54" s="59" t="s">
        <v>48</v>
      </c>
      <c r="B54" s="60" t="s">
        <v>58</v>
      </c>
      <c r="C54" s="9">
        <v>1</v>
      </c>
      <c r="D54" s="127">
        <f>250000+681250</f>
        <v>931250</v>
      </c>
      <c r="E54" s="75">
        <f t="shared" si="2"/>
        <v>931250</v>
      </c>
      <c r="F54" s="75">
        <f t="shared" ref="F54:I55" si="11">E54*(1+$G$3)</f>
        <v>963843.74999999988</v>
      </c>
      <c r="G54" s="75">
        <f t="shared" si="11"/>
        <v>997578.28124999977</v>
      </c>
      <c r="H54" s="75">
        <f t="shared" si="11"/>
        <v>1032493.5210937497</v>
      </c>
      <c r="I54" s="75">
        <f t="shared" si="11"/>
        <v>1068630.7943320309</v>
      </c>
      <c r="J54" s="10"/>
      <c r="K54" s="2"/>
    </row>
    <row r="55" spans="1:12" ht="31.5" customHeight="1" x14ac:dyDescent="0.25">
      <c r="A55" s="59" t="s">
        <v>51</v>
      </c>
      <c r="B55" s="60" t="s">
        <v>251</v>
      </c>
      <c r="C55" s="9">
        <v>1</v>
      </c>
      <c r="D55" s="127">
        <f>1000000+1000000+1000000</f>
        <v>3000000</v>
      </c>
      <c r="E55" s="75">
        <f t="shared" si="2"/>
        <v>3000000</v>
      </c>
      <c r="F55" s="75">
        <f t="shared" si="11"/>
        <v>3104999.9999999995</v>
      </c>
      <c r="G55" s="75">
        <f t="shared" si="11"/>
        <v>3213674.9999999991</v>
      </c>
      <c r="H55" s="75">
        <f t="shared" si="11"/>
        <v>3326153.6249999986</v>
      </c>
      <c r="I55" s="75">
        <f t="shared" si="11"/>
        <v>3442569.0018749982</v>
      </c>
      <c r="J55" s="10"/>
      <c r="K55" s="2"/>
    </row>
    <row r="56" spans="1:12" x14ac:dyDescent="0.25">
      <c r="A56" s="56"/>
      <c r="B56" s="70" t="s">
        <v>79</v>
      </c>
      <c r="C56" s="70"/>
      <c r="D56" s="70"/>
      <c r="E56" s="46">
        <f>SUM(E39:E55)</f>
        <v>140294290</v>
      </c>
      <c r="F56" s="46">
        <f>SUM(F39:F55)</f>
        <v>141721149.34999999</v>
      </c>
      <c r="G56" s="46">
        <f t="shared" ref="G56:I56" si="12">SUM(G39:G55)</f>
        <v>146681389.57725</v>
      </c>
      <c r="H56" s="46">
        <f t="shared" si="12"/>
        <v>151797125.71245369</v>
      </c>
      <c r="I56" s="46">
        <f t="shared" si="12"/>
        <v>157091912.61238956</v>
      </c>
      <c r="J56" s="80"/>
      <c r="K56" s="2"/>
    </row>
    <row r="57" spans="1:12" x14ac:dyDescent="0.25">
      <c r="A57" s="2"/>
      <c r="B57" s="48"/>
      <c r="C57" s="1"/>
      <c r="D57" s="1"/>
      <c r="E57" s="11"/>
      <c r="F57" s="1"/>
      <c r="G57" s="1"/>
      <c r="H57" s="1"/>
      <c r="I57" s="1"/>
      <c r="J57" s="1"/>
      <c r="K57" s="2"/>
      <c r="L57" s="2"/>
    </row>
    <row r="58" spans="1:12" x14ac:dyDescent="0.25">
      <c r="A58" s="2"/>
      <c r="B58" s="2"/>
      <c r="C58" s="81"/>
      <c r="D58" s="2"/>
      <c r="E58" s="2"/>
      <c r="F58" s="2"/>
      <c r="G58" s="2"/>
      <c r="H58" s="2"/>
      <c r="I58" s="2"/>
      <c r="J58" s="2"/>
      <c r="K58" s="2"/>
      <c r="L58" s="2"/>
    </row>
    <row r="59" spans="1:12" x14ac:dyDescent="0.25">
      <c r="A59" s="2"/>
      <c r="B59" s="2"/>
      <c r="C59" s="81"/>
      <c r="D59" s="2"/>
      <c r="E59" s="2"/>
      <c r="F59" s="2"/>
      <c r="G59" s="2"/>
      <c r="H59" s="2"/>
      <c r="I59" s="2"/>
      <c r="J59" s="2"/>
      <c r="K59" s="2"/>
      <c r="L59" s="2"/>
    </row>
    <row r="60" spans="1:12" ht="15.75" x14ac:dyDescent="0.25">
      <c r="A60" s="178" t="s">
        <v>80</v>
      </c>
      <c r="B60" s="179"/>
      <c r="C60" s="179"/>
      <c r="D60" s="179"/>
      <c r="E60" s="179"/>
      <c r="F60" s="179"/>
      <c r="G60" s="179"/>
      <c r="H60" s="180"/>
      <c r="I60" s="2"/>
      <c r="J60" s="2"/>
      <c r="K60" s="2"/>
      <c r="L60" s="2"/>
    </row>
    <row r="61" spans="1:12" x14ac:dyDescent="0.25">
      <c r="A61" s="56" t="s">
        <v>11</v>
      </c>
      <c r="B61" s="82" t="s">
        <v>81</v>
      </c>
      <c r="C61" s="83" t="s">
        <v>82</v>
      </c>
      <c r="D61" s="84" t="s">
        <v>31</v>
      </c>
      <c r="E61" s="84" t="s">
        <v>32</v>
      </c>
      <c r="F61" s="84" t="s">
        <v>33</v>
      </c>
      <c r="G61" s="84" t="s">
        <v>34</v>
      </c>
      <c r="H61" s="84" t="s">
        <v>35</v>
      </c>
      <c r="I61" s="85"/>
      <c r="J61" s="85"/>
      <c r="K61" s="2"/>
      <c r="L61" s="2"/>
    </row>
    <row r="62" spans="1:12" x14ac:dyDescent="0.25">
      <c r="A62" s="59">
        <v>1</v>
      </c>
      <c r="B62" s="86" t="s">
        <v>83</v>
      </c>
      <c r="C62" s="87"/>
      <c r="D62" s="87">
        <f>E33</f>
        <v>232128000</v>
      </c>
      <c r="E62" s="87">
        <f>F33</f>
        <v>232128000</v>
      </c>
      <c r="F62" s="87">
        <f>G33</f>
        <v>232128000</v>
      </c>
      <c r="G62" s="87">
        <f>H33</f>
        <v>232128000</v>
      </c>
      <c r="H62" s="87">
        <f>I33</f>
        <v>232128000</v>
      </c>
      <c r="I62" s="88"/>
      <c r="J62" s="88"/>
      <c r="K62" s="2"/>
      <c r="L62" s="2"/>
    </row>
    <row r="63" spans="1:12" x14ac:dyDescent="0.25">
      <c r="A63" s="59">
        <v>2</v>
      </c>
      <c r="B63" s="86" t="s">
        <v>84</v>
      </c>
      <c r="C63" s="89"/>
      <c r="D63" s="87">
        <f>E56</f>
        <v>140294290</v>
      </c>
      <c r="E63" s="87">
        <f>F56</f>
        <v>141721149.34999999</v>
      </c>
      <c r="F63" s="87">
        <f>G56</f>
        <v>146681389.57725</v>
      </c>
      <c r="G63" s="87">
        <f>H56</f>
        <v>151797125.71245369</v>
      </c>
      <c r="H63" s="87">
        <f>I56</f>
        <v>157091912.61238956</v>
      </c>
      <c r="I63" s="88"/>
      <c r="J63" s="88"/>
      <c r="K63" s="2"/>
      <c r="L63" s="2"/>
    </row>
    <row r="64" spans="1:12" x14ac:dyDescent="0.25">
      <c r="A64" s="59">
        <v>3</v>
      </c>
      <c r="B64" s="86" t="s">
        <v>85</v>
      </c>
      <c r="C64" s="89">
        <f>C23</f>
        <v>297683600</v>
      </c>
      <c r="D64" s="87"/>
      <c r="E64" s="87"/>
      <c r="F64" s="87"/>
      <c r="G64" s="87"/>
      <c r="H64" s="87"/>
      <c r="I64" s="88"/>
      <c r="J64" s="88"/>
      <c r="K64" s="2"/>
      <c r="L64" s="2"/>
    </row>
    <row r="65" spans="1:12" x14ac:dyDescent="0.25">
      <c r="A65" s="59">
        <v>4</v>
      </c>
      <c r="B65" s="86" t="s">
        <v>134</v>
      </c>
      <c r="C65" s="89">
        <f>SUM(E50:E52)/2</f>
        <v>42647040</v>
      </c>
      <c r="D65" s="87"/>
      <c r="E65" s="87"/>
      <c r="F65" s="87"/>
      <c r="G65" s="87"/>
      <c r="H65" s="87">
        <f>C65</f>
        <v>42647040</v>
      </c>
      <c r="I65" s="88"/>
      <c r="J65" s="88"/>
      <c r="K65" s="2"/>
      <c r="L65" s="2"/>
    </row>
    <row r="66" spans="1:12" x14ac:dyDescent="0.25">
      <c r="A66" s="59">
        <v>5</v>
      </c>
      <c r="B66" s="86" t="s">
        <v>87</v>
      </c>
      <c r="C66" s="89"/>
      <c r="D66" s="87"/>
      <c r="E66" s="87"/>
      <c r="F66" s="87"/>
      <c r="G66" s="87"/>
      <c r="H66" s="102">
        <f>G22</f>
        <v>115875810.52525005</v>
      </c>
      <c r="I66" s="88"/>
      <c r="J66" s="88"/>
      <c r="K66" s="2"/>
      <c r="L66" s="2"/>
    </row>
    <row r="67" spans="1:12" x14ac:dyDescent="0.25">
      <c r="A67" s="59"/>
      <c r="B67" s="86" t="s">
        <v>89</v>
      </c>
      <c r="C67" s="89">
        <f>-SUM(C64:C65)</f>
        <v>-340330640</v>
      </c>
      <c r="D67" s="87">
        <f>SUM(D62-D63-D64+D66)</f>
        <v>91833710</v>
      </c>
      <c r="E67" s="87">
        <f>SUM(E62-E63-E64+E66)</f>
        <v>90406850.650000006</v>
      </c>
      <c r="F67" s="87">
        <f>SUM(F62-F63-F64+F66)</f>
        <v>85446610.422749996</v>
      </c>
      <c r="G67" s="87">
        <f>SUM(G62-G63-G64+G66)</f>
        <v>80330874.287546307</v>
      </c>
      <c r="H67" s="87">
        <f>SUM(H62-H63-H64+H66+H65)</f>
        <v>233558937.91286048</v>
      </c>
      <c r="I67" s="88"/>
      <c r="J67" s="88"/>
      <c r="K67" s="2"/>
      <c r="L67" s="2"/>
    </row>
    <row r="68" spans="1:12" x14ac:dyDescent="0.25">
      <c r="A68" s="2"/>
      <c r="B68" s="181"/>
      <c r="C68" s="181"/>
      <c r="D68" s="181"/>
      <c r="E68" s="181"/>
      <c r="F68" s="181"/>
      <c r="G68" s="181"/>
      <c r="H68" s="181"/>
      <c r="I68" s="68"/>
      <c r="J68" s="68"/>
      <c r="K68" s="2"/>
      <c r="L68" s="2"/>
    </row>
    <row r="69" spans="1:12" x14ac:dyDescent="0.25">
      <c r="A69" s="2"/>
      <c r="B69" s="2"/>
      <c r="C69" s="2"/>
      <c r="D69" s="2"/>
      <c r="E69" s="2"/>
      <c r="F69" s="2"/>
      <c r="G69" s="2"/>
      <c r="H69" s="2"/>
      <c r="I69" s="68"/>
      <c r="J69" s="68"/>
      <c r="K69" s="2"/>
      <c r="L69" s="2"/>
    </row>
    <row r="70" spans="1:12" x14ac:dyDescent="0.25">
      <c r="A70" s="2"/>
      <c r="B70" s="2"/>
      <c r="C70" s="2"/>
      <c r="D70" s="2"/>
      <c r="E70" s="2"/>
      <c r="F70" s="2"/>
      <c r="G70" s="2"/>
      <c r="H70" s="2"/>
      <c r="I70" s="68"/>
      <c r="J70" s="68"/>
      <c r="K70" s="2"/>
      <c r="L70" s="2"/>
    </row>
    <row r="71" spans="1:12" ht="15.75" x14ac:dyDescent="0.25">
      <c r="A71" s="182" t="s">
        <v>327</v>
      </c>
      <c r="B71" s="183"/>
      <c r="C71" s="184"/>
      <c r="D71" s="2"/>
      <c r="E71" s="2"/>
      <c r="F71" s="2"/>
      <c r="G71" s="90"/>
      <c r="H71" s="2"/>
      <c r="I71" s="2"/>
      <c r="J71" s="2"/>
      <c r="K71" s="2"/>
      <c r="L71" s="2"/>
    </row>
    <row r="72" spans="1:12" x14ac:dyDescent="0.25">
      <c r="A72" s="91" t="s">
        <v>11</v>
      </c>
      <c r="B72" s="92" t="s">
        <v>91</v>
      </c>
      <c r="C72" s="92" t="s">
        <v>92</v>
      </c>
      <c r="D72" s="2"/>
      <c r="E72" s="2"/>
      <c r="F72" s="2"/>
      <c r="G72" s="2"/>
      <c r="H72" s="2"/>
      <c r="I72" s="2"/>
      <c r="J72" s="2"/>
      <c r="K72" s="85"/>
      <c r="L72" s="85"/>
    </row>
    <row r="73" spans="1:12" ht="25.5" x14ac:dyDescent="0.25">
      <c r="A73" s="93">
        <v>1</v>
      </c>
      <c r="B73" s="94" t="s">
        <v>93</v>
      </c>
      <c r="C73" s="95">
        <f>NPV(C77,D67:H67)+C67</f>
        <v>81957052.263220191</v>
      </c>
      <c r="K73" s="88"/>
      <c r="L73" s="88"/>
    </row>
    <row r="74" spans="1:12" ht="25.5" x14ac:dyDescent="0.25">
      <c r="A74" s="93">
        <v>2</v>
      </c>
      <c r="B74" s="94" t="s">
        <v>228</v>
      </c>
      <c r="C74" s="95">
        <f>NPV(C77,D67:H67)</f>
        <v>422287692.26322019</v>
      </c>
      <c r="K74" s="88"/>
      <c r="L74" s="88"/>
    </row>
    <row r="75" spans="1:12" x14ac:dyDescent="0.25">
      <c r="A75" s="93">
        <v>3</v>
      </c>
      <c r="B75" s="96" t="s">
        <v>322</v>
      </c>
      <c r="C75" s="97">
        <f>IRR(C67:H67)</f>
        <v>0.17768860708033962</v>
      </c>
      <c r="K75" s="88"/>
      <c r="L75" s="88"/>
    </row>
    <row r="76" spans="1:12" x14ac:dyDescent="0.25">
      <c r="A76" s="2"/>
      <c r="B76" s="2"/>
      <c r="C76" s="2"/>
      <c r="K76" s="88"/>
      <c r="L76" s="88"/>
    </row>
    <row r="77" spans="1:12" x14ac:dyDescent="0.25">
      <c r="A77" s="2"/>
      <c r="B77" s="98" t="s">
        <v>94</v>
      </c>
      <c r="C77" s="99">
        <v>0.1</v>
      </c>
      <c r="K77" s="68"/>
      <c r="L77" s="68"/>
    </row>
    <row r="84" ht="14.25" customHeight="1" x14ac:dyDescent="0.25"/>
    <row r="85" ht="36.75" customHeight="1" x14ac:dyDescent="0.25"/>
    <row r="89" ht="15.75" customHeight="1" x14ac:dyDescent="0.25"/>
  </sheetData>
  <mergeCells count="22">
    <mergeCell ref="B19:D19"/>
    <mergeCell ref="A1:H1"/>
    <mergeCell ref="A7:D7"/>
    <mergeCell ref="F7:G7"/>
    <mergeCell ref="B9:D9"/>
    <mergeCell ref="B16:D16"/>
    <mergeCell ref="A22:B22"/>
    <mergeCell ref="A26:I26"/>
    <mergeCell ref="A27:A28"/>
    <mergeCell ref="B27:B28"/>
    <mergeCell ref="C27:C28"/>
    <mergeCell ref="D27:D28"/>
    <mergeCell ref="E28:I28"/>
    <mergeCell ref="A60:H60"/>
    <mergeCell ref="B68:H68"/>
    <mergeCell ref="A71:C71"/>
    <mergeCell ref="J29:O29"/>
    <mergeCell ref="B33:D33"/>
    <mergeCell ref="A36:J36"/>
    <mergeCell ref="B38:I38"/>
    <mergeCell ref="B47:I47"/>
    <mergeCell ref="B53:I5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O83"/>
  <sheetViews>
    <sheetView topLeftCell="A29" workbookViewId="0">
      <selection activeCell="D51" sqref="D51"/>
    </sheetView>
  </sheetViews>
  <sheetFormatPr baseColWidth="10" defaultColWidth="10.85546875" defaultRowHeight="15" x14ac:dyDescent="0.25"/>
  <cols>
    <col min="1" max="1" width="10.85546875" style="3"/>
    <col min="2" max="2" width="37.85546875" style="3" customWidth="1"/>
    <col min="3" max="3" width="18.85546875" style="3" customWidth="1"/>
    <col min="4" max="4" width="48.42578125" style="3" customWidth="1"/>
    <col min="5" max="5" width="18" style="3" customWidth="1"/>
    <col min="6" max="6" width="17.140625" style="3" customWidth="1"/>
    <col min="7" max="7" width="17" style="3" customWidth="1"/>
    <col min="8" max="8" width="23.28515625" style="3" customWidth="1"/>
    <col min="9" max="9" width="23" style="3" customWidth="1"/>
    <col min="10" max="10" width="32.7109375" style="3" customWidth="1"/>
    <col min="11" max="16384" width="10.85546875" style="3"/>
  </cols>
  <sheetData>
    <row r="1" spans="1:12" ht="21" x14ac:dyDescent="0.25">
      <c r="A1" s="175" t="s">
        <v>214</v>
      </c>
      <c r="B1" s="175"/>
      <c r="C1" s="175"/>
      <c r="D1" s="175"/>
      <c r="E1" s="175"/>
      <c r="F1" s="175"/>
      <c r="G1" s="175"/>
      <c r="H1" s="175"/>
      <c r="I1" s="1"/>
      <c r="J1" s="2"/>
      <c r="K1" s="2"/>
      <c r="L1" s="2"/>
    </row>
    <row r="2" spans="1:12" ht="21" x14ac:dyDescent="0.25">
      <c r="A2" s="1"/>
      <c r="B2" s="4"/>
      <c r="C2" s="5" t="s">
        <v>1</v>
      </c>
      <c r="D2" s="1"/>
      <c r="E2" s="1"/>
      <c r="H2" s="1"/>
      <c r="I2" s="1"/>
      <c r="J2" s="2"/>
      <c r="K2" s="2"/>
      <c r="L2" s="2"/>
    </row>
    <row r="3" spans="1:12" x14ac:dyDescent="0.25">
      <c r="A3" s="1"/>
      <c r="B3" s="5"/>
      <c r="C3" s="6"/>
      <c r="D3" s="5" t="s">
        <v>2</v>
      </c>
      <c r="F3" s="7" t="s">
        <v>3</v>
      </c>
      <c r="G3" s="8">
        <v>3.5000000000000003E-2</v>
      </c>
      <c r="J3" s="2"/>
      <c r="K3" s="2"/>
      <c r="L3" s="2"/>
    </row>
    <row r="4" spans="1:12" x14ac:dyDescent="0.25">
      <c r="A4" s="1"/>
      <c r="B4" s="5"/>
      <c r="C4" s="9"/>
      <c r="D4" s="5" t="s">
        <v>4</v>
      </c>
      <c r="F4" s="1"/>
      <c r="G4" s="1"/>
      <c r="J4" s="2"/>
      <c r="K4" s="2"/>
      <c r="L4" s="2"/>
    </row>
    <row r="5" spans="1:12" x14ac:dyDescent="0.25">
      <c r="A5" s="1"/>
      <c r="B5" s="5"/>
      <c r="C5" s="10"/>
      <c r="D5" s="5" t="s">
        <v>5</v>
      </c>
      <c r="E5" s="1"/>
      <c r="H5" s="1"/>
      <c r="I5" s="1"/>
      <c r="J5" s="2"/>
      <c r="K5" s="2"/>
      <c r="L5" s="2"/>
    </row>
    <row r="6" spans="1:12" x14ac:dyDescent="0.25">
      <c r="A6" s="1" t="s">
        <v>215</v>
      </c>
      <c r="B6" s="5"/>
      <c r="C6" s="1"/>
      <c r="D6" s="1"/>
      <c r="E6" s="1"/>
      <c r="F6" s="11"/>
      <c r="G6" s="5"/>
      <c r="H6" s="1"/>
      <c r="I6" s="1"/>
      <c r="J6" s="2"/>
      <c r="K6" s="2"/>
      <c r="L6" s="2"/>
    </row>
    <row r="7" spans="1:12" ht="15.75" x14ac:dyDescent="0.25">
      <c r="A7" s="182" t="s">
        <v>6</v>
      </c>
      <c r="B7" s="183"/>
      <c r="C7" s="183"/>
      <c r="D7" s="184"/>
      <c r="E7" s="1"/>
      <c r="F7" s="176"/>
      <c r="G7" s="176"/>
      <c r="H7" s="2"/>
    </row>
    <row r="8" spans="1:12" s="18" customFormat="1" ht="47.25" customHeight="1" x14ac:dyDescent="0.25">
      <c r="A8" s="12" t="s">
        <v>325</v>
      </c>
      <c r="B8" s="13"/>
      <c r="C8" s="14" t="s">
        <v>8</v>
      </c>
      <c r="D8" s="15" t="s">
        <v>9</v>
      </c>
      <c r="E8" s="16"/>
      <c r="F8" s="125"/>
      <c r="G8" s="17" t="s">
        <v>10</v>
      </c>
      <c r="H8" s="16"/>
    </row>
    <row r="9" spans="1:12" x14ac:dyDescent="0.25">
      <c r="A9" s="19" t="s">
        <v>11</v>
      </c>
      <c r="B9" s="172" t="s">
        <v>12</v>
      </c>
      <c r="C9" s="173"/>
      <c r="D9" s="174"/>
      <c r="E9" s="2"/>
      <c r="F9" s="20"/>
      <c r="G9" s="21" t="s">
        <v>13</v>
      </c>
      <c r="H9" s="2"/>
    </row>
    <row r="10" spans="1:12" ht="41.25" customHeight="1" x14ac:dyDescent="0.25">
      <c r="A10" s="22">
        <v>1</v>
      </c>
      <c r="B10" s="23" t="s">
        <v>14</v>
      </c>
      <c r="C10" s="24">
        <v>6500000</v>
      </c>
      <c r="D10" s="23" t="s">
        <v>216</v>
      </c>
      <c r="E10" s="2"/>
      <c r="F10" s="25">
        <v>0.1</v>
      </c>
      <c r="G10" s="26">
        <f>C10*(1-F10)^5</f>
        <v>3838185.0000000014</v>
      </c>
      <c r="H10" s="2"/>
    </row>
    <row r="11" spans="1:12" ht="30.75" customHeight="1" x14ac:dyDescent="0.25">
      <c r="A11" s="27">
        <v>2</v>
      </c>
      <c r="B11" s="23" t="s">
        <v>15</v>
      </c>
      <c r="C11" s="24">
        <v>20636500</v>
      </c>
      <c r="D11" s="23" t="s">
        <v>217</v>
      </c>
      <c r="E11" s="2"/>
      <c r="F11" s="25">
        <v>0.05</v>
      </c>
      <c r="G11" s="26">
        <f>C11*(1-F11)^5</f>
        <v>15968130.31671875</v>
      </c>
      <c r="H11" s="2"/>
    </row>
    <row r="12" spans="1:12" ht="41.25" customHeight="1" x14ac:dyDescent="0.25">
      <c r="A12" s="27">
        <v>3</v>
      </c>
      <c r="B12" s="23" t="s">
        <v>218</v>
      </c>
      <c r="C12" s="24">
        <v>18448250</v>
      </c>
      <c r="D12" s="23" t="s">
        <v>361</v>
      </c>
      <c r="E12" s="2"/>
      <c r="F12" s="25">
        <v>0.2</v>
      </c>
      <c r="G12" s="26">
        <f>C12*(1-F12)^5</f>
        <v>6045122.5600000033</v>
      </c>
      <c r="H12" s="2"/>
    </row>
    <row r="13" spans="1:12" ht="31.5" customHeight="1" x14ac:dyDescent="0.25">
      <c r="A13" s="27">
        <v>4</v>
      </c>
      <c r="B13" s="23" t="s">
        <v>168</v>
      </c>
      <c r="C13" s="24">
        <v>19200000</v>
      </c>
      <c r="D13" s="23" t="s">
        <v>363</v>
      </c>
      <c r="E13" s="2"/>
      <c r="F13" s="25">
        <v>0.2</v>
      </c>
      <c r="G13" s="26">
        <f>C13*(1-F13)^5</f>
        <v>6291456.0000000037</v>
      </c>
      <c r="H13" s="2"/>
    </row>
    <row r="14" spans="1:12" x14ac:dyDescent="0.25">
      <c r="A14" s="29"/>
      <c r="B14" s="30"/>
      <c r="C14" s="31">
        <f>SUM(C10:C13)</f>
        <v>64784750</v>
      </c>
      <c r="D14" s="32"/>
      <c r="E14" s="2"/>
      <c r="F14" s="33"/>
      <c r="G14" s="34" t="s">
        <v>18</v>
      </c>
      <c r="H14" s="2"/>
    </row>
    <row r="15" spans="1:12" x14ac:dyDescent="0.25">
      <c r="A15" s="19" t="s">
        <v>11</v>
      </c>
      <c r="B15" s="177" t="s">
        <v>326</v>
      </c>
      <c r="C15" s="177"/>
      <c r="D15" s="177"/>
      <c r="E15" s="2"/>
      <c r="F15" s="20"/>
      <c r="G15" s="35"/>
      <c r="H15" s="2"/>
    </row>
    <row r="16" spans="1:12" x14ac:dyDescent="0.25">
      <c r="A16" s="22">
        <v>1</v>
      </c>
      <c r="B16" s="23"/>
      <c r="C16" s="24"/>
      <c r="D16" s="23" t="s">
        <v>18</v>
      </c>
      <c r="E16" s="2"/>
      <c r="F16" s="33"/>
      <c r="G16" s="34" t="s">
        <v>18</v>
      </c>
      <c r="H16" s="2"/>
    </row>
    <row r="17" spans="1:15" x14ac:dyDescent="0.25">
      <c r="A17" s="22">
        <v>2</v>
      </c>
      <c r="B17" s="36"/>
      <c r="C17" s="37">
        <f>SUM(C16)</f>
        <v>0</v>
      </c>
      <c r="D17" s="38"/>
      <c r="E17" s="39"/>
      <c r="F17" s="33"/>
      <c r="G17" s="34" t="s">
        <v>18</v>
      </c>
      <c r="H17" s="2"/>
    </row>
    <row r="18" spans="1:15" ht="15.75" customHeight="1" x14ac:dyDescent="0.25">
      <c r="A18" s="19" t="s">
        <v>11</v>
      </c>
      <c r="B18" s="172" t="s">
        <v>22</v>
      </c>
      <c r="C18" s="173"/>
      <c r="D18" s="174"/>
      <c r="E18" s="2"/>
      <c r="F18" s="20"/>
      <c r="G18" s="35"/>
      <c r="H18" s="2"/>
    </row>
    <row r="19" spans="1:15" ht="15.75" customHeight="1" x14ac:dyDescent="0.25">
      <c r="A19" s="22">
        <v>1</v>
      </c>
      <c r="B19" s="23" t="s">
        <v>23</v>
      </c>
      <c r="C19" s="24"/>
      <c r="D19" s="40" t="s">
        <v>18</v>
      </c>
      <c r="E19" s="2"/>
      <c r="F19" s="33"/>
      <c r="G19" s="34" t="s">
        <v>18</v>
      </c>
      <c r="H19" s="2"/>
    </row>
    <row r="20" spans="1:15" ht="17.25" customHeight="1" x14ac:dyDescent="0.25">
      <c r="A20" s="22">
        <v>2</v>
      </c>
      <c r="B20" s="23" t="s">
        <v>24</v>
      </c>
      <c r="C20" s="24"/>
      <c r="D20" s="40" t="s">
        <v>18</v>
      </c>
      <c r="E20" s="2"/>
      <c r="F20" s="33"/>
      <c r="G20" s="34" t="s">
        <v>18</v>
      </c>
      <c r="H20" s="2"/>
    </row>
    <row r="21" spans="1:15" x14ac:dyDescent="0.25">
      <c r="A21" s="165"/>
      <c r="B21" s="166"/>
      <c r="C21" s="41">
        <f>SUM(C19:C20)</f>
        <v>0</v>
      </c>
      <c r="E21" s="42"/>
      <c r="F21" s="33"/>
      <c r="G21" s="43">
        <f>SUM(G10:G20)</f>
        <v>32142893.876718756</v>
      </c>
      <c r="I21" s="2"/>
    </row>
    <row r="22" spans="1:15" x14ac:dyDescent="0.25">
      <c r="A22" s="44"/>
      <c r="B22" s="45" t="s">
        <v>26</v>
      </c>
      <c r="C22" s="46">
        <f>SUM(C14+C17+C21)</f>
        <v>64784750</v>
      </c>
      <c r="G22" s="2"/>
      <c r="H22" s="2"/>
      <c r="I22" s="2"/>
      <c r="J22" s="2"/>
      <c r="K22" s="2"/>
    </row>
    <row r="23" spans="1:15" x14ac:dyDescent="0.25">
      <c r="A23" s="47"/>
      <c r="B23" s="48"/>
      <c r="C23" s="42"/>
      <c r="D23" s="49"/>
      <c r="E23" s="50"/>
      <c r="F23" s="50"/>
      <c r="G23" s="51"/>
      <c r="H23" s="52"/>
      <c r="I23" s="2"/>
      <c r="J23" s="2"/>
      <c r="K23" s="2"/>
      <c r="L23" s="2"/>
    </row>
    <row r="24" spans="1:15" x14ac:dyDescent="0.25">
      <c r="A24" s="1"/>
      <c r="B24" s="48"/>
      <c r="C24" s="1"/>
      <c r="D24" s="1"/>
      <c r="E24" s="1"/>
      <c r="F24" s="1"/>
      <c r="G24" s="1"/>
      <c r="H24" s="2"/>
      <c r="I24" s="1"/>
      <c r="J24" s="2"/>
      <c r="K24" s="2"/>
      <c r="L24" s="2"/>
    </row>
    <row r="25" spans="1:15" ht="15.75" x14ac:dyDescent="0.25">
      <c r="A25" s="182" t="s">
        <v>27</v>
      </c>
      <c r="B25" s="183"/>
      <c r="C25" s="183"/>
      <c r="D25" s="183"/>
      <c r="E25" s="183"/>
      <c r="F25" s="183"/>
      <c r="G25" s="183"/>
      <c r="H25" s="183"/>
      <c r="I25" s="184"/>
      <c r="J25" s="54"/>
      <c r="K25" s="54"/>
      <c r="L25" s="54"/>
      <c r="M25" s="54"/>
      <c r="N25" s="54"/>
    </row>
    <row r="26" spans="1:15" x14ac:dyDescent="0.25">
      <c r="A26" s="167" t="s">
        <v>11</v>
      </c>
      <c r="B26" s="167" t="s">
        <v>28</v>
      </c>
      <c r="C26" s="167" t="s">
        <v>219</v>
      </c>
      <c r="D26" s="167" t="s">
        <v>220</v>
      </c>
      <c r="E26" s="55" t="s">
        <v>31</v>
      </c>
      <c r="F26" s="56" t="s">
        <v>32</v>
      </c>
      <c r="G26" s="56" t="s">
        <v>33</v>
      </c>
      <c r="H26" s="56" t="s">
        <v>34</v>
      </c>
      <c r="I26" s="56" t="s">
        <v>35</v>
      </c>
      <c r="J26" s="11"/>
      <c r="M26" s="2"/>
      <c r="N26" s="2"/>
    </row>
    <row r="27" spans="1:15" x14ac:dyDescent="0.25">
      <c r="A27" s="168"/>
      <c r="B27" s="168"/>
      <c r="C27" s="168"/>
      <c r="D27" s="168"/>
      <c r="E27" s="169" t="s">
        <v>39</v>
      </c>
      <c r="F27" s="170"/>
      <c r="G27" s="170"/>
      <c r="H27" s="170"/>
      <c r="I27" s="171"/>
      <c r="J27" s="58"/>
      <c r="K27" s="2"/>
      <c r="L27" s="2"/>
    </row>
    <row r="28" spans="1:15" ht="18.75" customHeight="1" x14ac:dyDescent="0.25">
      <c r="A28" s="59">
        <v>1</v>
      </c>
      <c r="B28" s="60" t="s">
        <v>221</v>
      </c>
      <c r="C28" s="10">
        <v>450</v>
      </c>
      <c r="D28" s="126">
        <v>20000</v>
      </c>
      <c r="E28" s="63">
        <f>$C28*$D28*0.35</f>
        <v>3150000</v>
      </c>
      <c r="F28" s="63">
        <f t="shared" ref="F28" si="0">$C28*$D28*0.35</f>
        <v>3150000</v>
      </c>
      <c r="G28" s="63">
        <f>$C28*$D28*0.368</f>
        <v>3312000</v>
      </c>
      <c r="H28" s="63">
        <f>$C28*$D28*0.4</f>
        <v>3600000</v>
      </c>
      <c r="I28" s="63">
        <f>$C28*$D28*0.425</f>
        <v>3825000</v>
      </c>
      <c r="J28" s="154" t="s">
        <v>333</v>
      </c>
      <c r="K28" s="155"/>
      <c r="L28" s="155"/>
      <c r="M28" s="155"/>
      <c r="N28" s="155"/>
      <c r="O28" s="155"/>
    </row>
    <row r="29" spans="1:15" ht="18.75" customHeight="1" x14ac:dyDescent="0.25">
      <c r="A29" s="59">
        <v>2</v>
      </c>
      <c r="B29" s="60" t="s">
        <v>222</v>
      </c>
      <c r="C29" s="10">
        <f>15*12</f>
        <v>180</v>
      </c>
      <c r="D29" s="126">
        <v>20000</v>
      </c>
      <c r="E29" s="62">
        <f>$D29*$C29</f>
        <v>3600000</v>
      </c>
      <c r="F29" s="62">
        <f>$D29*$C29*1.05</f>
        <v>3780000</v>
      </c>
      <c r="G29" s="62">
        <f>F29*1.05</f>
        <v>3969000</v>
      </c>
      <c r="H29" s="62">
        <f t="shared" ref="H29:I29" si="1">G29*1.05</f>
        <v>4167450</v>
      </c>
      <c r="I29" s="62">
        <f t="shared" si="1"/>
        <v>4375822.5</v>
      </c>
      <c r="J29" s="123"/>
      <c r="K29" s="124"/>
      <c r="L29" s="124"/>
      <c r="M29" s="124"/>
      <c r="N29" s="124"/>
      <c r="O29" s="124"/>
    </row>
    <row r="30" spans="1:15" ht="25.5" x14ac:dyDescent="0.25">
      <c r="A30" s="59">
        <v>3</v>
      </c>
      <c r="B30" s="78" t="s">
        <v>223</v>
      </c>
      <c r="C30" s="10">
        <f>35*12*0.25</f>
        <v>105</v>
      </c>
      <c r="D30" s="126">
        <f>35000</f>
        <v>35000</v>
      </c>
      <c r="E30" s="62">
        <f>C30*D30</f>
        <v>3675000</v>
      </c>
      <c r="F30" s="63">
        <f>E30*1.05</f>
        <v>3858750</v>
      </c>
      <c r="G30" s="63">
        <f t="shared" ref="G30:I30" si="2">F30*1.05</f>
        <v>4051687.5</v>
      </c>
      <c r="H30" s="63">
        <f t="shared" si="2"/>
        <v>4254271.875</v>
      </c>
      <c r="I30" s="63">
        <f t="shared" si="2"/>
        <v>4466985.46875</v>
      </c>
      <c r="J30" s="123"/>
      <c r="K30" s="1"/>
      <c r="L30" s="2"/>
      <c r="M30" s="2"/>
      <c r="N30" s="2"/>
    </row>
    <row r="31" spans="1:15" ht="15" customHeight="1" x14ac:dyDescent="0.25">
      <c r="A31" s="107">
        <v>4</v>
      </c>
      <c r="B31" s="60" t="s">
        <v>224</v>
      </c>
      <c r="C31" s="10" t="s">
        <v>18</v>
      </c>
      <c r="D31" s="126" t="s">
        <v>18</v>
      </c>
      <c r="E31" s="62">
        <f>350000+1800000+1100000+2100000</f>
        <v>5350000</v>
      </c>
      <c r="F31" s="63">
        <f>367500+2000000+1172500+2205000</f>
        <v>5745000</v>
      </c>
      <c r="G31" s="63">
        <f>385875+2200000+1207625+2315250</f>
        <v>6108750</v>
      </c>
      <c r="H31" s="63">
        <f>405169+2400000+1265506+2431013</f>
        <v>6501688</v>
      </c>
      <c r="I31" s="63">
        <f>425427+2600000+1326282+2552563</f>
        <v>6904272</v>
      </c>
      <c r="K31" s="66"/>
      <c r="L31" s="66"/>
      <c r="M31" s="2"/>
      <c r="N31" s="2"/>
    </row>
    <row r="32" spans="1:15" ht="15" customHeight="1" x14ac:dyDescent="0.25">
      <c r="A32" s="5"/>
      <c r="B32" s="156" t="s">
        <v>43</v>
      </c>
      <c r="C32" s="157"/>
      <c r="D32" s="158"/>
      <c r="E32" s="46">
        <f>SUM(E28:E31)</f>
        <v>15775000</v>
      </c>
      <c r="F32" s="46">
        <f>SUM(F28:F31)</f>
        <v>16533750</v>
      </c>
      <c r="G32" s="46">
        <f t="shared" ref="G32:H32" si="3">SUM(G28:G31)</f>
        <v>17441437.5</v>
      </c>
      <c r="H32" s="46">
        <f t="shared" si="3"/>
        <v>18523409.875</v>
      </c>
      <c r="I32" s="46">
        <f>SUM(I28:I31)</f>
        <v>19572079.96875</v>
      </c>
      <c r="J32" s="66"/>
      <c r="K32" s="2"/>
      <c r="L32" s="2"/>
    </row>
    <row r="33" spans="1:14" x14ac:dyDescent="0.25">
      <c r="A33" s="2"/>
      <c r="B33" s="48"/>
      <c r="C33" s="67"/>
      <c r="D33" s="68"/>
      <c r="E33" s="68"/>
      <c r="F33" s="68"/>
      <c r="G33" s="68"/>
      <c r="H33" s="68"/>
      <c r="I33" s="1"/>
      <c r="J33" s="11"/>
      <c r="K33" s="66"/>
      <c r="L33" s="66"/>
      <c r="M33" s="2"/>
      <c r="N33" s="2"/>
    </row>
    <row r="34" spans="1:14" x14ac:dyDescent="0.25">
      <c r="A34" s="2"/>
      <c r="B34" s="69"/>
      <c r="C34" s="67"/>
      <c r="D34" s="68"/>
      <c r="E34" s="68"/>
      <c r="F34" s="68"/>
      <c r="G34" s="68"/>
      <c r="H34" s="68"/>
      <c r="I34" s="1"/>
      <c r="J34" s="11"/>
      <c r="M34" s="2"/>
      <c r="N34" s="2"/>
    </row>
    <row r="35" spans="1:14" ht="15.75" x14ac:dyDescent="0.25">
      <c r="A35" s="185" t="s">
        <v>44</v>
      </c>
      <c r="B35" s="186"/>
      <c r="C35" s="186"/>
      <c r="D35" s="186"/>
      <c r="E35" s="186"/>
      <c r="F35" s="186"/>
      <c r="G35" s="186"/>
      <c r="H35" s="186"/>
      <c r="I35" s="186"/>
      <c r="J35" s="187"/>
      <c r="K35" s="54"/>
      <c r="L35" s="54"/>
      <c r="M35" s="54"/>
      <c r="N35" s="44"/>
    </row>
    <row r="36" spans="1:14" ht="15" customHeight="1" x14ac:dyDescent="0.25">
      <c r="A36" s="56" t="s">
        <v>11</v>
      </c>
      <c r="B36" s="70" t="s">
        <v>325</v>
      </c>
      <c r="C36" s="71" t="s">
        <v>328</v>
      </c>
      <c r="D36" s="71" t="s">
        <v>329</v>
      </c>
      <c r="E36" s="55" t="s">
        <v>31</v>
      </c>
      <c r="F36" s="56" t="s">
        <v>32</v>
      </c>
      <c r="G36" s="56" t="s">
        <v>33</v>
      </c>
      <c r="H36" s="56" t="s">
        <v>34</v>
      </c>
      <c r="I36" s="56" t="s">
        <v>35</v>
      </c>
      <c r="J36" s="14" t="s">
        <v>9</v>
      </c>
    </row>
    <row r="37" spans="1:14" ht="15" customHeight="1" x14ac:dyDescent="0.25">
      <c r="A37" s="101"/>
      <c r="B37" s="163" t="s">
        <v>47</v>
      </c>
      <c r="C37" s="163"/>
      <c r="D37" s="163"/>
      <c r="E37" s="163"/>
      <c r="F37" s="163"/>
      <c r="G37" s="163"/>
      <c r="H37" s="163"/>
      <c r="I37" s="164"/>
      <c r="J37" s="73"/>
    </row>
    <row r="38" spans="1:14" x14ac:dyDescent="0.25">
      <c r="A38" s="59" t="s">
        <v>48</v>
      </c>
      <c r="B38" s="74" t="s">
        <v>225</v>
      </c>
      <c r="C38" s="9">
        <v>2</v>
      </c>
      <c r="D38" s="127">
        <v>20000</v>
      </c>
      <c r="E38" s="75">
        <f t="shared" ref="E38:E49" si="4">C38*D38</f>
        <v>40000</v>
      </c>
      <c r="F38" s="75">
        <f>E38*(1+$G$3)</f>
        <v>41400</v>
      </c>
      <c r="G38" s="75">
        <f>F38*(1+$G$3)</f>
        <v>42849</v>
      </c>
      <c r="H38" s="75">
        <f>G38*(1+$G$3)</f>
        <v>44348.714999999997</v>
      </c>
      <c r="I38" s="75">
        <f>H38*(1+$G$3)</f>
        <v>45900.920024999992</v>
      </c>
      <c r="J38" s="10"/>
      <c r="K38" s="2"/>
      <c r="L38" s="2"/>
      <c r="M38" s="2"/>
    </row>
    <row r="39" spans="1:14" x14ac:dyDescent="0.25">
      <c r="A39" s="59" t="s">
        <v>51</v>
      </c>
      <c r="B39" s="74" t="s">
        <v>55</v>
      </c>
      <c r="C39" s="9"/>
      <c r="D39" s="127"/>
      <c r="E39" s="75">
        <f t="shared" si="4"/>
        <v>0</v>
      </c>
      <c r="F39" s="75">
        <f>E39*(1+$G$3)</f>
        <v>0</v>
      </c>
      <c r="G39" s="75">
        <f>F39*(1+$G$3)</f>
        <v>0</v>
      </c>
      <c r="H39" s="75"/>
      <c r="I39" s="75"/>
      <c r="J39" s="10"/>
      <c r="K39" s="2"/>
      <c r="L39" s="2"/>
      <c r="M39" s="2"/>
    </row>
    <row r="40" spans="1:14" x14ac:dyDescent="0.25">
      <c r="A40" s="59" t="s">
        <v>54</v>
      </c>
      <c r="B40" s="60" t="s">
        <v>136</v>
      </c>
      <c r="C40" s="9"/>
      <c r="D40" s="127"/>
      <c r="E40" s="75">
        <f t="shared" si="4"/>
        <v>0</v>
      </c>
      <c r="F40" s="75">
        <f>D40*C40</f>
        <v>0</v>
      </c>
      <c r="G40" s="75">
        <f>F40*(1+$G$3)</f>
        <v>0</v>
      </c>
      <c r="H40" s="75">
        <f>G40*(1+$G$3)</f>
        <v>0</v>
      </c>
      <c r="I40" s="75">
        <f>H40*(1+$G$3)</f>
        <v>0</v>
      </c>
      <c r="J40" s="10"/>
      <c r="K40" s="2"/>
    </row>
    <row r="41" spans="1:14" x14ac:dyDescent="0.25">
      <c r="A41" s="59" t="s">
        <v>57</v>
      </c>
      <c r="B41" s="60"/>
      <c r="C41" s="9"/>
      <c r="D41" s="127"/>
      <c r="E41" s="75">
        <f t="shared" si="4"/>
        <v>0</v>
      </c>
      <c r="F41" s="75">
        <f>D41*C41</f>
        <v>0</v>
      </c>
      <c r="G41" s="75">
        <f>F41*(1+$G$3)</f>
        <v>0</v>
      </c>
      <c r="H41" s="75">
        <f t="shared" ref="H41:I41" si="5">G41</f>
        <v>0</v>
      </c>
      <c r="I41" s="75">
        <f t="shared" si="5"/>
        <v>0</v>
      </c>
      <c r="J41" s="10"/>
      <c r="K41" s="2"/>
    </row>
    <row r="42" spans="1:14" x14ac:dyDescent="0.25">
      <c r="A42" s="56">
        <v>2</v>
      </c>
      <c r="B42" s="140" t="s">
        <v>60</v>
      </c>
      <c r="C42" s="141"/>
      <c r="D42" s="141"/>
      <c r="E42" s="141"/>
      <c r="F42" s="141"/>
      <c r="G42" s="141"/>
      <c r="H42" s="141"/>
      <c r="I42" s="142"/>
      <c r="J42" s="77"/>
      <c r="K42" s="2"/>
    </row>
    <row r="43" spans="1:14" x14ac:dyDescent="0.25">
      <c r="A43" s="59" t="s">
        <v>48</v>
      </c>
      <c r="B43" s="78" t="s">
        <v>226</v>
      </c>
      <c r="C43" s="9">
        <v>3</v>
      </c>
      <c r="D43" s="127">
        <v>1200000</v>
      </c>
      <c r="E43" s="75">
        <f>C43*D43</f>
        <v>3600000</v>
      </c>
      <c r="F43" s="75">
        <f>E43*(1+$G$3)</f>
        <v>3725999.9999999995</v>
      </c>
      <c r="G43" s="75">
        <f>F43*(1+$G$3)</f>
        <v>3856409.9999999991</v>
      </c>
      <c r="H43" s="75">
        <f>G43*(1+$G$3)</f>
        <v>3991384.3499999987</v>
      </c>
      <c r="I43" s="75">
        <f>H43*(1+$G$3)</f>
        <v>4131082.8022499983</v>
      </c>
      <c r="J43" s="10"/>
      <c r="K43" s="2"/>
    </row>
    <row r="44" spans="1:14" ht="22.5" customHeight="1" x14ac:dyDescent="0.25">
      <c r="A44" s="56" t="s">
        <v>51</v>
      </c>
      <c r="B44" s="74" t="s">
        <v>362</v>
      </c>
      <c r="C44" s="9">
        <v>1</v>
      </c>
      <c r="D44" s="127">
        <f>137100*0.3*12</f>
        <v>493560</v>
      </c>
      <c r="E44" s="75">
        <f t="shared" ref="E44:E46" si="6">C44*D44</f>
        <v>493560</v>
      </c>
      <c r="F44" s="75">
        <f>D44*C44</f>
        <v>493560</v>
      </c>
      <c r="G44" s="75">
        <f t="shared" ref="G44:I46" si="7">F44*(1+$G$3)</f>
        <v>510834.6</v>
      </c>
      <c r="H44" s="75">
        <f t="shared" si="7"/>
        <v>528713.81099999999</v>
      </c>
      <c r="I44" s="75">
        <f t="shared" si="7"/>
        <v>547218.7943849999</v>
      </c>
      <c r="J44" s="10"/>
      <c r="K44" s="2"/>
    </row>
    <row r="45" spans="1:14" ht="22.5" customHeight="1" x14ac:dyDescent="0.25">
      <c r="A45" s="56" t="s">
        <v>57</v>
      </c>
      <c r="B45" s="78" t="s">
        <v>227</v>
      </c>
      <c r="C45" s="9">
        <v>1</v>
      </c>
      <c r="D45" s="127">
        <v>300000</v>
      </c>
      <c r="E45" s="75">
        <f t="shared" si="6"/>
        <v>300000</v>
      </c>
      <c r="F45" s="75">
        <f t="shared" ref="F45" si="8">E45*(1+$G$3)</f>
        <v>310500</v>
      </c>
      <c r="G45" s="75">
        <f t="shared" si="7"/>
        <v>321367.5</v>
      </c>
      <c r="H45" s="75">
        <f t="shared" si="7"/>
        <v>332615.36249999999</v>
      </c>
      <c r="I45" s="75">
        <f t="shared" si="7"/>
        <v>344256.90018749994</v>
      </c>
      <c r="J45" s="10"/>
      <c r="K45" s="2"/>
    </row>
    <row r="46" spans="1:14" ht="15.75" customHeight="1" x14ac:dyDescent="0.25">
      <c r="A46" s="56" t="s">
        <v>54</v>
      </c>
      <c r="B46" s="74" t="s">
        <v>154</v>
      </c>
      <c r="C46" s="9">
        <v>1</v>
      </c>
      <c r="D46" s="127">
        <f>381695*0.02*12</f>
        <v>91606.8</v>
      </c>
      <c r="E46" s="75">
        <f t="shared" si="6"/>
        <v>91606.8</v>
      </c>
      <c r="F46" s="75">
        <f>D46*C46</f>
        <v>91606.8</v>
      </c>
      <c r="G46" s="75">
        <f t="shared" si="7"/>
        <v>94813.038</v>
      </c>
      <c r="H46" s="75">
        <f t="shared" si="7"/>
        <v>98131.494329999987</v>
      </c>
      <c r="I46" s="75">
        <f t="shared" si="7"/>
        <v>101566.09663154998</v>
      </c>
      <c r="J46" s="10"/>
      <c r="K46" s="2"/>
    </row>
    <row r="47" spans="1:14" x14ac:dyDescent="0.25">
      <c r="A47" s="56">
        <v>3</v>
      </c>
      <c r="B47" s="162" t="s">
        <v>75</v>
      </c>
      <c r="C47" s="163"/>
      <c r="D47" s="163"/>
      <c r="E47" s="163"/>
      <c r="F47" s="163"/>
      <c r="G47" s="163"/>
      <c r="H47" s="163"/>
      <c r="I47" s="164"/>
      <c r="J47" s="77"/>
      <c r="K47" s="2"/>
    </row>
    <row r="48" spans="1:14" ht="31.5" customHeight="1" x14ac:dyDescent="0.25">
      <c r="A48" s="59" t="s">
        <v>48</v>
      </c>
      <c r="B48" s="78" t="s">
        <v>18</v>
      </c>
      <c r="C48" s="9"/>
      <c r="D48" s="127"/>
      <c r="E48" s="75">
        <f t="shared" si="4"/>
        <v>0</v>
      </c>
      <c r="F48" s="75">
        <f t="shared" ref="F48:I49" si="9">E48*(1+$G$3)</f>
        <v>0</v>
      </c>
      <c r="G48" s="75">
        <f t="shared" si="9"/>
        <v>0</v>
      </c>
      <c r="H48" s="75">
        <f t="shared" si="9"/>
        <v>0</v>
      </c>
      <c r="I48" s="75">
        <f t="shared" si="9"/>
        <v>0</v>
      </c>
      <c r="J48" s="10"/>
      <c r="K48" s="2"/>
    </row>
    <row r="49" spans="1:12" ht="31.5" customHeight="1" x14ac:dyDescent="0.25">
      <c r="A49" s="59" t="s">
        <v>51</v>
      </c>
      <c r="B49" s="78" t="s">
        <v>77</v>
      </c>
      <c r="C49" s="9"/>
      <c r="D49" s="127"/>
      <c r="E49" s="75">
        <f t="shared" si="4"/>
        <v>0</v>
      </c>
      <c r="F49" s="75">
        <f t="shared" si="9"/>
        <v>0</v>
      </c>
      <c r="G49" s="75">
        <f t="shared" si="9"/>
        <v>0</v>
      </c>
      <c r="H49" s="75">
        <f t="shared" si="9"/>
        <v>0</v>
      </c>
      <c r="I49" s="75">
        <f t="shared" si="9"/>
        <v>0</v>
      </c>
      <c r="J49" s="10"/>
      <c r="K49" s="2"/>
    </row>
    <row r="50" spans="1:12" x14ac:dyDescent="0.25">
      <c r="A50" s="56"/>
      <c r="B50" s="70" t="s">
        <v>79</v>
      </c>
      <c r="C50" s="70"/>
      <c r="D50" s="70"/>
      <c r="E50" s="46">
        <f>SUM(E38:E49)</f>
        <v>4525166.8</v>
      </c>
      <c r="F50" s="46">
        <f>SUM(F38:F49)</f>
        <v>4663066.8</v>
      </c>
      <c r="G50" s="46">
        <f t="shared" ref="G50:I50" si="10">SUM(G38:G49)</f>
        <v>4826274.1379999984</v>
      </c>
      <c r="H50" s="46">
        <f t="shared" si="10"/>
        <v>4995193.7328299982</v>
      </c>
      <c r="I50" s="46">
        <f t="shared" si="10"/>
        <v>5170025.5134790484</v>
      </c>
      <c r="J50" s="80"/>
      <c r="K50" s="2"/>
    </row>
    <row r="51" spans="1:12" x14ac:dyDescent="0.25">
      <c r="A51" s="2"/>
      <c r="B51" s="48"/>
      <c r="C51" s="1"/>
      <c r="D51" s="1"/>
      <c r="E51" s="11"/>
      <c r="F51" s="1"/>
      <c r="G51" s="1"/>
      <c r="H51" s="1"/>
      <c r="I51" s="1"/>
      <c r="J51" s="1"/>
      <c r="K51" s="2"/>
      <c r="L51" s="2"/>
    </row>
    <row r="52" spans="1:12" x14ac:dyDescent="0.25">
      <c r="A52" s="2"/>
      <c r="B52" s="2"/>
      <c r="C52" s="81"/>
      <c r="D52" s="2"/>
      <c r="E52" s="2"/>
      <c r="F52" s="2"/>
      <c r="G52" s="2"/>
      <c r="H52" s="2"/>
      <c r="I52" s="2"/>
      <c r="J52" s="2"/>
      <c r="K52" s="2"/>
      <c r="L52" s="2"/>
    </row>
    <row r="53" spans="1:12" x14ac:dyDescent="0.25">
      <c r="A53" s="2"/>
      <c r="B53" s="2"/>
      <c r="C53" s="81"/>
      <c r="D53" s="2"/>
      <c r="E53" s="2"/>
      <c r="F53" s="2"/>
      <c r="G53" s="2"/>
      <c r="H53" s="2"/>
      <c r="I53" s="2"/>
      <c r="J53" s="2"/>
      <c r="K53" s="2"/>
      <c r="L53" s="2"/>
    </row>
    <row r="54" spans="1:12" ht="15.75" x14ac:dyDescent="0.25">
      <c r="A54" s="178" t="s">
        <v>80</v>
      </c>
      <c r="B54" s="179"/>
      <c r="C54" s="179"/>
      <c r="D54" s="179"/>
      <c r="E54" s="179"/>
      <c r="F54" s="179"/>
      <c r="G54" s="179"/>
      <c r="H54" s="180"/>
      <c r="I54" s="2"/>
      <c r="J54" s="2"/>
      <c r="K54" s="2"/>
      <c r="L54" s="2"/>
    </row>
    <row r="55" spans="1:12" x14ac:dyDescent="0.25">
      <c r="A55" s="56" t="s">
        <v>11</v>
      </c>
      <c r="B55" s="82" t="s">
        <v>81</v>
      </c>
      <c r="C55" s="83" t="s">
        <v>82</v>
      </c>
      <c r="D55" s="84" t="s">
        <v>31</v>
      </c>
      <c r="E55" s="84" t="s">
        <v>32</v>
      </c>
      <c r="F55" s="84" t="s">
        <v>33</v>
      </c>
      <c r="G55" s="84" t="s">
        <v>34</v>
      </c>
      <c r="H55" s="84" t="s">
        <v>35</v>
      </c>
      <c r="I55" s="85"/>
      <c r="J55" s="85"/>
      <c r="K55" s="2"/>
      <c r="L55" s="2"/>
    </row>
    <row r="56" spans="1:12" x14ac:dyDescent="0.25">
      <c r="A56" s="59">
        <v>1</v>
      </c>
      <c r="B56" s="86" t="s">
        <v>83</v>
      </c>
      <c r="C56" s="87"/>
      <c r="D56" s="87">
        <f>E32</f>
        <v>15775000</v>
      </c>
      <c r="E56" s="87">
        <f>F32</f>
        <v>16533750</v>
      </c>
      <c r="F56" s="87">
        <f>G32</f>
        <v>17441437.5</v>
      </c>
      <c r="G56" s="87">
        <f>H32</f>
        <v>18523409.875</v>
      </c>
      <c r="H56" s="87">
        <f>I32</f>
        <v>19572079.96875</v>
      </c>
      <c r="I56" s="88"/>
      <c r="J56" s="88"/>
      <c r="K56" s="2"/>
      <c r="L56" s="2"/>
    </row>
    <row r="57" spans="1:12" x14ac:dyDescent="0.25">
      <c r="A57" s="59">
        <v>2</v>
      </c>
      <c r="B57" s="86" t="s">
        <v>84</v>
      </c>
      <c r="C57" s="89"/>
      <c r="D57" s="87">
        <f>E50</f>
        <v>4525166.8</v>
      </c>
      <c r="E57" s="87">
        <f>F50</f>
        <v>4663066.8</v>
      </c>
      <c r="F57" s="87">
        <f>G50</f>
        <v>4826274.1379999984</v>
      </c>
      <c r="G57" s="87">
        <f>H50</f>
        <v>4995193.7328299982</v>
      </c>
      <c r="H57" s="87">
        <f>I50</f>
        <v>5170025.5134790484</v>
      </c>
      <c r="I57" s="88"/>
      <c r="J57" s="88"/>
      <c r="K57" s="2"/>
      <c r="L57" s="2"/>
    </row>
    <row r="58" spans="1:12" x14ac:dyDescent="0.25">
      <c r="A58" s="59">
        <v>3</v>
      </c>
      <c r="B58" s="86" t="s">
        <v>85</v>
      </c>
      <c r="C58" s="89">
        <f>C22</f>
        <v>64784750</v>
      </c>
      <c r="D58" s="87"/>
      <c r="E58" s="87"/>
      <c r="F58" s="87"/>
      <c r="G58" s="87"/>
      <c r="H58" s="87"/>
      <c r="I58" s="88"/>
      <c r="J58" s="88"/>
      <c r="K58" s="2"/>
      <c r="L58" s="2"/>
    </row>
    <row r="59" spans="1:12" x14ac:dyDescent="0.25">
      <c r="A59" s="59">
        <v>4</v>
      </c>
      <c r="B59" s="86" t="s">
        <v>134</v>
      </c>
      <c r="C59" s="89">
        <f>SUM(E44:E46)/2</f>
        <v>442583.4</v>
      </c>
      <c r="D59" s="87"/>
      <c r="E59" s="87"/>
      <c r="F59" s="87"/>
      <c r="G59" s="87"/>
      <c r="H59" s="87">
        <f>C59</f>
        <v>442583.4</v>
      </c>
      <c r="I59" s="88"/>
      <c r="J59" s="88"/>
      <c r="K59" s="2"/>
      <c r="L59" s="2"/>
    </row>
    <row r="60" spans="1:12" x14ac:dyDescent="0.25">
      <c r="A60" s="59">
        <v>5</v>
      </c>
      <c r="B60" s="86" t="s">
        <v>87</v>
      </c>
      <c r="C60" s="89"/>
      <c r="D60" s="87"/>
      <c r="E60" s="87"/>
      <c r="F60" s="87"/>
      <c r="G60" s="87"/>
      <c r="H60" s="102">
        <f>G21</f>
        <v>32142893.876718756</v>
      </c>
      <c r="I60" s="88"/>
      <c r="J60" s="88"/>
      <c r="K60" s="2"/>
      <c r="L60" s="2"/>
    </row>
    <row r="61" spans="1:12" x14ac:dyDescent="0.25">
      <c r="A61" s="59"/>
      <c r="B61" s="86" t="s">
        <v>89</v>
      </c>
      <c r="C61" s="89">
        <f>-SUM(C58:C59)</f>
        <v>-65227333.399999999</v>
      </c>
      <c r="D61" s="87">
        <f>SUM(D56-D57-D58+D60)</f>
        <v>11249833.199999999</v>
      </c>
      <c r="E61" s="87">
        <f>SUM(E56-E57-E58+E60)</f>
        <v>11870683.199999999</v>
      </c>
      <c r="F61" s="87">
        <f>SUM(F56-F57-F58+F60)</f>
        <v>12615163.362000002</v>
      </c>
      <c r="G61" s="87">
        <f>SUM(G56-G57-G58+G60)</f>
        <v>13528216.142170001</v>
      </c>
      <c r="H61" s="87">
        <f>SUM(H56-H57-H58+H60+H59)</f>
        <v>46987531.731989704</v>
      </c>
      <c r="I61" s="88"/>
      <c r="J61" s="88"/>
      <c r="K61" s="2"/>
      <c r="L61" s="2"/>
    </row>
    <row r="62" spans="1:12" x14ac:dyDescent="0.25">
      <c r="A62" s="2"/>
      <c r="B62" s="181"/>
      <c r="C62" s="181"/>
      <c r="D62" s="181"/>
      <c r="E62" s="181"/>
      <c r="F62" s="181"/>
      <c r="G62" s="181"/>
      <c r="H62" s="181"/>
      <c r="I62" s="68"/>
      <c r="J62" s="68"/>
      <c r="K62" s="2"/>
      <c r="L62" s="2"/>
    </row>
    <row r="63" spans="1:12" x14ac:dyDescent="0.25">
      <c r="A63" s="2"/>
      <c r="B63" s="2"/>
      <c r="C63" s="2"/>
      <c r="D63" s="2"/>
      <c r="E63" s="2"/>
      <c r="F63" s="2"/>
      <c r="G63" s="2"/>
      <c r="H63" s="2"/>
      <c r="I63" s="68"/>
      <c r="J63" s="68"/>
      <c r="K63" s="2"/>
      <c r="L63" s="2"/>
    </row>
    <row r="64" spans="1:12" x14ac:dyDescent="0.25">
      <c r="A64" s="2"/>
      <c r="B64" s="2"/>
      <c r="C64" s="2"/>
      <c r="D64" s="2"/>
      <c r="E64" s="2"/>
      <c r="F64" s="2"/>
      <c r="G64" s="2"/>
      <c r="H64" s="2"/>
      <c r="I64" s="68"/>
      <c r="J64" s="68"/>
      <c r="K64" s="2"/>
      <c r="L64" s="2"/>
    </row>
    <row r="65" spans="1:12" ht="15.75" x14ac:dyDescent="0.25">
      <c r="A65" s="182" t="s">
        <v>327</v>
      </c>
      <c r="B65" s="183"/>
      <c r="C65" s="184"/>
      <c r="D65" s="2"/>
      <c r="E65" s="2"/>
      <c r="F65" s="2"/>
      <c r="G65" s="90"/>
      <c r="H65" s="2"/>
      <c r="I65" s="2"/>
      <c r="J65" s="2"/>
      <c r="K65" s="2"/>
      <c r="L65" s="2"/>
    </row>
    <row r="66" spans="1:12" x14ac:dyDescent="0.25">
      <c r="A66" s="91" t="s">
        <v>11</v>
      </c>
      <c r="B66" s="92" t="s">
        <v>91</v>
      </c>
      <c r="C66" s="92" t="s">
        <v>92</v>
      </c>
      <c r="D66" s="2"/>
      <c r="E66" s="2"/>
      <c r="F66" s="2"/>
      <c r="G66" s="2"/>
      <c r="H66" s="2"/>
      <c r="I66" s="2"/>
      <c r="J66" s="2"/>
      <c r="K66" s="85"/>
      <c r="L66" s="85"/>
    </row>
    <row r="67" spans="1:12" ht="25.5" x14ac:dyDescent="0.25">
      <c r="A67" s="93">
        <v>1</v>
      </c>
      <c r="B67" s="94" t="s">
        <v>93</v>
      </c>
      <c r="C67" s="95">
        <f>NPV(C71,D61:H61)+C61</f>
        <v>2703742.646542199</v>
      </c>
      <c r="K67" s="88"/>
      <c r="L67" s="88"/>
    </row>
    <row r="68" spans="1:12" ht="25.5" x14ac:dyDescent="0.25">
      <c r="A68" s="93">
        <v>2</v>
      </c>
      <c r="B68" s="94" t="s">
        <v>228</v>
      </c>
      <c r="C68" s="95">
        <f>NPV(C71,D61:H61)</f>
        <v>67931076.046542197</v>
      </c>
      <c r="K68" s="88"/>
      <c r="L68" s="88"/>
    </row>
    <row r="69" spans="1:12" x14ac:dyDescent="0.25">
      <c r="A69" s="93">
        <v>3</v>
      </c>
      <c r="B69" s="96" t="s">
        <v>322</v>
      </c>
      <c r="C69" s="97">
        <f>IRR(C61:H61)</f>
        <v>0.11270674560279437</v>
      </c>
      <c r="K69" s="88"/>
      <c r="L69" s="88"/>
    </row>
    <row r="70" spans="1:12" x14ac:dyDescent="0.25">
      <c r="A70" s="2"/>
      <c r="B70" s="2"/>
      <c r="C70" s="2"/>
      <c r="K70" s="88"/>
      <c r="L70" s="88"/>
    </row>
    <row r="71" spans="1:12" x14ac:dyDescent="0.25">
      <c r="A71" s="2"/>
      <c r="B71" s="98" t="s">
        <v>94</v>
      </c>
      <c r="C71" s="99">
        <v>0.1</v>
      </c>
      <c r="K71" s="68"/>
      <c r="L71" s="68"/>
    </row>
    <row r="78" spans="1:12" ht="14.25" customHeight="1" x14ac:dyDescent="0.25"/>
    <row r="79" spans="1:12" ht="36.75" customHeight="1" x14ac:dyDescent="0.25"/>
    <row r="83" ht="15.75" customHeight="1" x14ac:dyDescent="0.25"/>
  </sheetData>
  <mergeCells count="22">
    <mergeCell ref="B18:D18"/>
    <mergeCell ref="A1:H1"/>
    <mergeCell ref="A7:D7"/>
    <mergeCell ref="F7:G7"/>
    <mergeCell ref="B9:D9"/>
    <mergeCell ref="B15:D15"/>
    <mergeCell ref="A21:B21"/>
    <mergeCell ref="A25:I25"/>
    <mergeCell ref="A26:A27"/>
    <mergeCell ref="B26:B27"/>
    <mergeCell ref="C26:C27"/>
    <mergeCell ref="D26:D27"/>
    <mergeCell ref="E27:I27"/>
    <mergeCell ref="A54:H54"/>
    <mergeCell ref="B62:H62"/>
    <mergeCell ref="A65:C65"/>
    <mergeCell ref="J28:O28"/>
    <mergeCell ref="B32:D32"/>
    <mergeCell ref="A35:J35"/>
    <mergeCell ref="B37:I37"/>
    <mergeCell ref="B42:I42"/>
    <mergeCell ref="B47:I4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76"/>
  <sheetViews>
    <sheetView showGridLines="0" topLeftCell="H22" workbookViewId="0">
      <selection activeCell="B71" sqref="B71"/>
    </sheetView>
  </sheetViews>
  <sheetFormatPr baseColWidth="10" defaultRowHeight="15" x14ac:dyDescent="0.25"/>
  <cols>
    <col min="2" max="2" width="29.85546875" customWidth="1"/>
    <col min="3" max="3" width="20.42578125" customWidth="1"/>
    <col min="4" max="4" width="40.42578125" customWidth="1"/>
    <col min="5" max="5" width="15.42578125" customWidth="1"/>
    <col min="6" max="6" width="18.140625" customWidth="1"/>
    <col min="7" max="7" width="19" customWidth="1"/>
    <col min="8" max="8" width="36.28515625" customWidth="1"/>
    <col min="9" max="19" width="17" customWidth="1"/>
    <col min="20" max="20" width="46.42578125" customWidth="1"/>
  </cols>
  <sheetData>
    <row r="1" spans="1:26" ht="21" x14ac:dyDescent="0.25">
      <c r="A1" s="175" t="s">
        <v>105</v>
      </c>
      <c r="B1" s="175"/>
      <c r="C1" s="175"/>
      <c r="D1" s="175"/>
      <c r="E1" s="175"/>
      <c r="F1" s="175"/>
      <c r="G1" s="175"/>
      <c r="H1" s="175"/>
      <c r="I1" s="1"/>
      <c r="J1" s="1"/>
      <c r="K1" s="1"/>
      <c r="L1" s="1"/>
      <c r="M1" s="1"/>
      <c r="N1" s="1"/>
      <c r="O1" s="1"/>
      <c r="P1" s="1"/>
      <c r="Q1" s="1"/>
      <c r="R1" s="1"/>
      <c r="S1" s="1"/>
      <c r="T1" s="2"/>
      <c r="U1" s="2"/>
      <c r="V1" s="2"/>
      <c r="W1" s="3"/>
      <c r="X1" s="3"/>
      <c r="Y1" s="3"/>
      <c r="Z1" s="3"/>
    </row>
    <row r="2" spans="1:26" ht="21" x14ac:dyDescent="0.25">
      <c r="A2" s="1"/>
      <c r="B2" s="4"/>
      <c r="C2" s="5" t="s">
        <v>1</v>
      </c>
      <c r="D2" s="1"/>
      <c r="E2" s="1"/>
      <c r="F2" s="3"/>
      <c r="G2" s="3"/>
      <c r="H2" s="1"/>
      <c r="I2" s="1"/>
      <c r="J2" s="1"/>
      <c r="K2" s="1"/>
      <c r="L2" s="1"/>
      <c r="M2" s="1"/>
      <c r="N2" s="1"/>
      <c r="O2" s="1"/>
      <c r="P2" s="1"/>
      <c r="Q2" s="1"/>
      <c r="R2" s="1"/>
      <c r="S2" s="1"/>
      <c r="T2" s="2"/>
      <c r="U2" s="2"/>
      <c r="V2" s="2"/>
      <c r="W2" s="3"/>
      <c r="X2" s="3"/>
      <c r="Y2" s="3"/>
      <c r="Z2" s="3"/>
    </row>
    <row r="3" spans="1:26" x14ac:dyDescent="0.25">
      <c r="A3" s="1"/>
      <c r="B3" s="5"/>
      <c r="C3" s="6"/>
      <c r="D3" s="5" t="s">
        <v>2</v>
      </c>
      <c r="E3" s="3"/>
      <c r="F3" s="7" t="s">
        <v>3</v>
      </c>
      <c r="G3" s="8">
        <v>3.5000000000000003E-2</v>
      </c>
      <c r="H3" s="3"/>
      <c r="I3" s="3"/>
      <c r="J3" s="3"/>
      <c r="K3" s="3"/>
      <c r="L3" s="3"/>
      <c r="M3" s="3"/>
      <c r="N3" s="3"/>
      <c r="O3" s="3"/>
      <c r="P3" s="3"/>
      <c r="Q3" s="3"/>
      <c r="R3" s="3"/>
      <c r="S3" s="3"/>
      <c r="T3" s="2"/>
      <c r="U3" s="2"/>
      <c r="V3" s="2"/>
      <c r="W3" s="3"/>
      <c r="X3" s="3"/>
      <c r="Y3" s="3"/>
      <c r="Z3" s="3"/>
    </row>
    <row r="4" spans="1:26" x14ac:dyDescent="0.25">
      <c r="A4" s="1"/>
      <c r="B4" s="5"/>
      <c r="C4" s="9"/>
      <c r="D4" s="5" t="s">
        <v>4</v>
      </c>
      <c r="E4" s="3"/>
      <c r="F4" s="1"/>
      <c r="G4" s="1"/>
      <c r="H4" s="3"/>
      <c r="I4" s="3"/>
      <c r="J4" s="3"/>
      <c r="K4" s="3"/>
      <c r="L4" s="3"/>
      <c r="M4" s="3"/>
      <c r="N4" s="3"/>
      <c r="O4" s="3"/>
      <c r="P4" s="3"/>
      <c r="Q4" s="3"/>
      <c r="R4" s="3"/>
      <c r="S4" s="3"/>
      <c r="T4" s="2"/>
      <c r="U4" s="2"/>
      <c r="V4" s="2"/>
      <c r="W4" s="3"/>
      <c r="X4" s="3"/>
      <c r="Y4" s="3"/>
      <c r="Z4" s="3"/>
    </row>
    <row r="5" spans="1:26" x14ac:dyDescent="0.25">
      <c r="A5" s="1"/>
      <c r="B5" s="5"/>
      <c r="C5" s="10"/>
      <c r="D5" s="5" t="s">
        <v>5</v>
      </c>
      <c r="E5" s="1"/>
      <c r="F5" s="3"/>
      <c r="G5" s="3"/>
      <c r="H5" s="1"/>
      <c r="I5" s="1"/>
      <c r="J5" s="1"/>
      <c r="K5" s="1"/>
      <c r="L5" s="1"/>
      <c r="M5" s="1"/>
      <c r="N5" s="1"/>
      <c r="O5" s="1"/>
      <c r="P5" s="1"/>
      <c r="Q5" s="1"/>
      <c r="R5" s="1"/>
      <c r="S5" s="1"/>
      <c r="T5" s="2"/>
      <c r="U5" s="2"/>
      <c r="V5" s="2"/>
      <c r="W5" s="3"/>
      <c r="X5" s="3"/>
      <c r="Y5" s="3"/>
      <c r="Z5" s="3"/>
    </row>
    <row r="6" spans="1:26" x14ac:dyDescent="0.25">
      <c r="A6" s="1"/>
      <c r="B6" s="5"/>
      <c r="C6" s="1"/>
      <c r="D6" s="1"/>
      <c r="E6" s="1"/>
      <c r="F6" s="11"/>
      <c r="G6" s="5"/>
      <c r="H6" s="1"/>
      <c r="I6" s="1"/>
      <c r="J6" s="1"/>
      <c r="K6" s="1"/>
      <c r="L6" s="1"/>
      <c r="M6" s="1"/>
      <c r="N6" s="1"/>
      <c r="O6" s="1"/>
      <c r="P6" s="1"/>
      <c r="Q6" s="1"/>
      <c r="R6" s="1"/>
      <c r="S6" s="1"/>
      <c r="T6" s="2"/>
      <c r="U6" s="2"/>
      <c r="V6" s="2"/>
      <c r="W6" s="3"/>
      <c r="X6" s="3"/>
      <c r="Y6" s="3"/>
      <c r="Z6" s="3"/>
    </row>
    <row r="7" spans="1:26" ht="15.75" x14ac:dyDescent="0.25">
      <c r="A7" s="182" t="s">
        <v>6</v>
      </c>
      <c r="B7" s="183"/>
      <c r="C7" s="183"/>
      <c r="D7" s="184"/>
      <c r="E7" s="1"/>
      <c r="F7" s="176"/>
      <c r="G7" s="176"/>
      <c r="H7" s="2"/>
      <c r="I7" s="3"/>
      <c r="J7" s="3"/>
      <c r="K7" s="3"/>
      <c r="L7" s="3"/>
      <c r="M7" s="3"/>
      <c r="N7" s="3"/>
      <c r="O7" s="3"/>
      <c r="P7" s="3"/>
      <c r="Q7" s="3"/>
      <c r="R7" s="3"/>
      <c r="S7" s="3"/>
      <c r="T7" s="3"/>
      <c r="U7" s="3"/>
      <c r="V7" s="3"/>
      <c r="W7" s="3"/>
      <c r="X7" s="3"/>
      <c r="Y7" s="3"/>
      <c r="Z7" s="3"/>
    </row>
    <row r="8" spans="1:26" ht="30" x14ac:dyDescent="0.25">
      <c r="A8" s="12" t="s">
        <v>7</v>
      </c>
      <c r="B8" s="13"/>
      <c r="C8" s="14" t="s">
        <v>8</v>
      </c>
      <c r="D8" s="15" t="s">
        <v>9</v>
      </c>
      <c r="E8" s="16"/>
      <c r="F8" s="105" t="s">
        <v>104</v>
      </c>
      <c r="G8" s="17" t="s">
        <v>10</v>
      </c>
      <c r="H8" s="16"/>
      <c r="I8" s="18"/>
      <c r="J8" s="18"/>
      <c r="K8" s="18"/>
      <c r="L8" s="18"/>
      <c r="M8" s="18"/>
      <c r="N8" s="18"/>
      <c r="O8" s="18"/>
      <c r="P8" s="18"/>
      <c r="Q8" s="18"/>
      <c r="R8" s="18"/>
      <c r="S8" s="18"/>
      <c r="T8" s="18"/>
      <c r="U8" s="18"/>
      <c r="V8" s="18"/>
      <c r="W8" s="18"/>
      <c r="X8" s="18"/>
      <c r="Y8" s="18"/>
      <c r="Z8" s="18"/>
    </row>
    <row r="9" spans="1:26" x14ac:dyDescent="0.25">
      <c r="A9" s="19" t="s">
        <v>11</v>
      </c>
      <c r="B9" s="172" t="s">
        <v>12</v>
      </c>
      <c r="C9" s="173"/>
      <c r="D9" s="174"/>
      <c r="E9" s="2"/>
      <c r="F9" s="20"/>
      <c r="G9" s="21" t="s">
        <v>13</v>
      </c>
      <c r="H9" s="2"/>
      <c r="I9" s="3"/>
      <c r="J9" s="3"/>
      <c r="K9" s="3"/>
      <c r="L9" s="3"/>
      <c r="M9" s="3"/>
      <c r="N9" s="3"/>
      <c r="O9" s="3"/>
      <c r="P9" s="3"/>
      <c r="Q9" s="3"/>
      <c r="R9" s="3"/>
      <c r="S9" s="3"/>
      <c r="T9" s="3"/>
      <c r="U9" s="3"/>
      <c r="V9" s="3"/>
      <c r="W9" s="3"/>
      <c r="X9" s="3"/>
      <c r="Y9" s="3"/>
      <c r="Z9" s="3"/>
    </row>
    <row r="10" spans="1:26" ht="60.75" customHeight="1" x14ac:dyDescent="0.25">
      <c r="A10" s="22">
        <v>1</v>
      </c>
      <c r="B10" s="23" t="s">
        <v>14</v>
      </c>
      <c r="C10" s="24">
        <f>244800000+23800000+263932480</f>
        <v>532532480</v>
      </c>
      <c r="D10" s="23" t="s">
        <v>106</v>
      </c>
      <c r="E10" s="2"/>
      <c r="F10" s="25">
        <v>0.15</v>
      </c>
      <c r="G10" s="26">
        <f>C10*(1-F10)^5</f>
        <v>236287490.45479995</v>
      </c>
      <c r="H10" s="106" t="s">
        <v>107</v>
      </c>
      <c r="I10" s="3"/>
      <c r="J10" s="3"/>
      <c r="K10" s="3"/>
      <c r="L10" s="3"/>
      <c r="M10" s="3"/>
      <c r="N10" s="3"/>
      <c r="O10" s="3"/>
      <c r="P10" s="3"/>
      <c r="Q10" s="3"/>
      <c r="R10" s="3"/>
      <c r="S10" s="3"/>
      <c r="T10" s="3"/>
      <c r="U10" s="3"/>
      <c r="V10" s="3"/>
      <c r="W10" s="3"/>
      <c r="X10" s="3"/>
      <c r="Y10" s="3"/>
      <c r="Z10" s="3"/>
    </row>
    <row r="11" spans="1:26" ht="65.25" customHeight="1" x14ac:dyDescent="0.25">
      <c r="A11" s="27">
        <v>2</v>
      </c>
      <c r="B11" s="23" t="s">
        <v>15</v>
      </c>
      <c r="C11" s="24">
        <f>13000000+12000000+10000000+54128000+6800000+3060000</f>
        <v>98988000</v>
      </c>
      <c r="D11" s="23" t="s">
        <v>108</v>
      </c>
      <c r="E11" s="2"/>
      <c r="F11" s="25">
        <v>0.2</v>
      </c>
      <c r="G11" s="26">
        <f>C11*(1-F11)^5</f>
        <v>32436387.840000018</v>
      </c>
      <c r="H11" s="106" t="s">
        <v>109</v>
      </c>
      <c r="I11" s="3"/>
      <c r="J11" s="3"/>
      <c r="K11" s="3"/>
      <c r="L11" s="3"/>
      <c r="M11" s="3"/>
      <c r="N11" s="3"/>
      <c r="O11" s="3"/>
      <c r="P11" s="3"/>
      <c r="Q11" s="3"/>
      <c r="R11" s="3"/>
      <c r="S11" s="3"/>
      <c r="T11" s="3"/>
      <c r="U11" s="3"/>
      <c r="V11" s="3"/>
      <c r="W11" s="3"/>
      <c r="X11" s="3"/>
      <c r="Y11" s="3"/>
      <c r="Z11" s="3"/>
    </row>
    <row r="12" spans="1:26" ht="25.5" x14ac:dyDescent="0.25">
      <c r="A12" s="27">
        <v>3</v>
      </c>
      <c r="B12" s="23" t="s">
        <v>13</v>
      </c>
      <c r="C12" s="24">
        <f>34000000+24480000</f>
        <v>58480000</v>
      </c>
      <c r="D12" s="23" t="s">
        <v>110</v>
      </c>
      <c r="E12" s="2"/>
      <c r="F12" s="25">
        <v>0.2</v>
      </c>
      <c r="G12" s="26">
        <f>C12*(1-F12)^5</f>
        <v>19162726.40000001</v>
      </c>
      <c r="H12" s="2"/>
      <c r="I12" s="3"/>
      <c r="J12" s="3"/>
      <c r="K12" s="3"/>
      <c r="L12" s="3"/>
      <c r="M12" s="3"/>
      <c r="N12" s="3"/>
      <c r="O12" s="3"/>
      <c r="P12" s="3"/>
      <c r="Q12" s="3"/>
      <c r="R12" s="3"/>
      <c r="S12" s="3"/>
      <c r="T12" s="3"/>
      <c r="U12" s="3"/>
      <c r="V12" s="3"/>
      <c r="W12" s="3"/>
      <c r="X12" s="3"/>
      <c r="Y12" s="3"/>
      <c r="Z12" s="3"/>
    </row>
    <row r="13" spans="1:26" x14ac:dyDescent="0.25">
      <c r="A13" s="29"/>
      <c r="B13" s="30"/>
      <c r="C13" s="31">
        <f>SUM(C10:C12)</f>
        <v>690000480</v>
      </c>
      <c r="D13" s="32"/>
      <c r="E13" s="2"/>
      <c r="F13" s="33"/>
      <c r="G13" s="34" t="s">
        <v>18</v>
      </c>
      <c r="H13" s="2"/>
      <c r="I13" s="3"/>
      <c r="J13" s="3"/>
      <c r="K13" s="3"/>
      <c r="L13" s="3"/>
      <c r="M13" s="3"/>
      <c r="N13" s="3"/>
      <c r="O13" s="3"/>
      <c r="P13" s="3"/>
      <c r="Q13" s="3"/>
      <c r="R13" s="3"/>
      <c r="S13" s="3"/>
      <c r="T13" s="3"/>
      <c r="U13" s="3"/>
      <c r="V13" s="3"/>
      <c r="W13" s="3"/>
      <c r="X13" s="3"/>
      <c r="Y13" s="3"/>
      <c r="Z13" s="3"/>
    </row>
    <row r="14" spans="1:26" x14ac:dyDescent="0.25">
      <c r="A14" s="19" t="s">
        <v>11</v>
      </c>
      <c r="B14" s="177" t="s">
        <v>19</v>
      </c>
      <c r="C14" s="177"/>
      <c r="D14" s="177"/>
      <c r="E14" s="2"/>
      <c r="F14" s="20"/>
      <c r="G14" s="35"/>
      <c r="H14" s="2"/>
      <c r="I14" s="3"/>
      <c r="J14" s="3"/>
      <c r="K14" s="3"/>
      <c r="L14" s="3"/>
      <c r="M14" s="3"/>
      <c r="N14" s="3"/>
      <c r="O14" s="3"/>
      <c r="P14" s="3"/>
      <c r="Q14" s="3"/>
      <c r="R14" s="3"/>
      <c r="S14" s="3"/>
      <c r="T14" s="3"/>
      <c r="U14" s="3"/>
      <c r="V14" s="3"/>
      <c r="W14" s="3"/>
      <c r="X14" s="3"/>
      <c r="Y14" s="3"/>
      <c r="Z14" s="3"/>
    </row>
    <row r="15" spans="1:26" ht="30.75" customHeight="1" x14ac:dyDescent="0.25">
      <c r="A15" s="22">
        <v>1</v>
      </c>
      <c r="B15" s="23" t="s">
        <v>20</v>
      </c>
      <c r="C15" s="24">
        <v>2000000</v>
      </c>
      <c r="D15" s="23" t="s">
        <v>111</v>
      </c>
      <c r="E15" s="2"/>
      <c r="F15" s="33"/>
      <c r="G15" s="34" t="s">
        <v>18</v>
      </c>
      <c r="H15" s="2"/>
      <c r="I15" s="3"/>
      <c r="J15" s="3"/>
      <c r="K15" s="3"/>
      <c r="L15" s="3"/>
      <c r="M15" s="3"/>
      <c r="N15" s="3"/>
      <c r="O15" s="3"/>
      <c r="P15" s="3"/>
      <c r="Q15" s="3"/>
      <c r="R15" s="3"/>
      <c r="S15" s="3"/>
      <c r="T15" s="3"/>
      <c r="U15" s="3"/>
      <c r="V15" s="3"/>
      <c r="W15" s="3"/>
      <c r="X15" s="3"/>
      <c r="Y15" s="3"/>
      <c r="Z15" s="3"/>
    </row>
    <row r="16" spans="1:26" x14ac:dyDescent="0.25">
      <c r="A16" s="22">
        <v>2</v>
      </c>
      <c r="B16" s="36"/>
      <c r="C16" s="37">
        <f>SUM(C15)</f>
        <v>2000000</v>
      </c>
      <c r="D16" s="38"/>
      <c r="E16" s="39"/>
      <c r="F16" s="33"/>
      <c r="G16" s="34" t="s">
        <v>18</v>
      </c>
      <c r="H16" s="2"/>
      <c r="I16" s="3"/>
      <c r="J16" s="3"/>
      <c r="K16" s="3"/>
      <c r="L16" s="3"/>
      <c r="M16" s="3"/>
      <c r="N16" s="3"/>
      <c r="O16" s="3"/>
      <c r="P16" s="3"/>
      <c r="Q16" s="3"/>
      <c r="R16" s="3"/>
      <c r="S16" s="3"/>
      <c r="T16" s="3"/>
      <c r="U16" s="3"/>
      <c r="V16" s="3"/>
      <c r="W16" s="3"/>
      <c r="X16" s="3"/>
      <c r="Y16" s="3"/>
      <c r="Z16" s="3"/>
    </row>
    <row r="17" spans="1:26" x14ac:dyDescent="0.25">
      <c r="A17" s="19" t="s">
        <v>11</v>
      </c>
      <c r="B17" s="172" t="s">
        <v>22</v>
      </c>
      <c r="C17" s="173"/>
      <c r="D17" s="174"/>
      <c r="E17" s="2"/>
      <c r="F17" s="20"/>
      <c r="G17" s="35"/>
      <c r="H17" s="2"/>
      <c r="I17" s="3"/>
      <c r="J17" s="3"/>
      <c r="K17" s="3"/>
      <c r="L17" s="3"/>
      <c r="M17" s="3"/>
      <c r="N17" s="3"/>
      <c r="O17" s="3"/>
      <c r="P17" s="3"/>
      <c r="Q17" s="3"/>
      <c r="R17" s="3"/>
      <c r="S17" s="3"/>
      <c r="T17" s="3"/>
      <c r="U17" s="3"/>
      <c r="V17" s="3"/>
      <c r="W17" s="3"/>
      <c r="X17" s="3"/>
      <c r="Y17" s="3"/>
      <c r="Z17" s="3"/>
    </row>
    <row r="18" spans="1:26" ht="19.5" customHeight="1" x14ac:dyDescent="0.25">
      <c r="A18" s="22">
        <v>1</v>
      </c>
      <c r="B18" s="23" t="s">
        <v>23</v>
      </c>
      <c r="C18" s="24">
        <v>0</v>
      </c>
      <c r="D18" s="40" t="s">
        <v>112</v>
      </c>
      <c r="E18" s="2"/>
      <c r="F18" s="33"/>
      <c r="G18" s="34" t="s">
        <v>18</v>
      </c>
      <c r="H18" s="2"/>
      <c r="I18" s="3"/>
      <c r="J18" s="3"/>
      <c r="K18" s="3"/>
      <c r="L18" s="3"/>
      <c r="M18" s="3"/>
      <c r="N18" s="3"/>
      <c r="O18" s="3"/>
      <c r="P18" s="3"/>
      <c r="Q18" s="3"/>
      <c r="R18" s="3"/>
      <c r="S18" s="3"/>
      <c r="T18" s="3"/>
      <c r="U18" s="3"/>
      <c r="V18" s="3"/>
      <c r="W18" s="3"/>
      <c r="X18" s="3"/>
      <c r="Y18" s="3"/>
      <c r="Z18" s="3"/>
    </row>
    <row r="19" spans="1:26" ht="30.75" customHeight="1" x14ac:dyDescent="0.25">
      <c r="A19" s="22">
        <v>2</v>
      </c>
      <c r="B19" s="23" t="s">
        <v>113</v>
      </c>
      <c r="C19" s="24">
        <v>68000000</v>
      </c>
      <c r="D19" s="40" t="s">
        <v>114</v>
      </c>
      <c r="E19" s="2"/>
      <c r="F19" s="33"/>
      <c r="G19" s="34"/>
      <c r="H19" s="2"/>
      <c r="I19" s="3"/>
      <c r="J19" s="3"/>
      <c r="K19" s="3"/>
      <c r="L19" s="3"/>
      <c r="M19" s="3"/>
      <c r="N19" s="3"/>
      <c r="O19" s="3"/>
      <c r="P19" s="3"/>
      <c r="Q19" s="3"/>
      <c r="R19" s="3"/>
      <c r="S19" s="3"/>
      <c r="T19" s="3"/>
      <c r="U19" s="3"/>
      <c r="V19" s="3"/>
      <c r="W19" s="3"/>
      <c r="X19" s="3"/>
      <c r="Y19" s="3"/>
      <c r="Z19" s="3"/>
    </row>
    <row r="20" spans="1:26" ht="29.25" customHeight="1" x14ac:dyDescent="0.25">
      <c r="A20" s="22">
        <v>3</v>
      </c>
      <c r="B20" s="23" t="s">
        <v>115</v>
      </c>
      <c r="C20" s="24">
        <f>5000000</f>
        <v>5000000</v>
      </c>
      <c r="D20" s="40" t="s">
        <v>116</v>
      </c>
      <c r="E20" s="2"/>
      <c r="F20" s="33"/>
      <c r="G20" s="34" t="s">
        <v>18</v>
      </c>
      <c r="H20" s="2"/>
      <c r="I20" s="3"/>
      <c r="J20" s="3"/>
      <c r="K20" s="3"/>
      <c r="L20" s="3"/>
      <c r="M20" s="3"/>
      <c r="N20" s="3"/>
      <c r="O20" s="3"/>
      <c r="P20" s="3"/>
      <c r="Q20" s="3"/>
      <c r="R20" s="3"/>
      <c r="S20" s="3"/>
      <c r="T20" s="3"/>
      <c r="U20" s="3"/>
      <c r="V20" s="3"/>
      <c r="W20" s="3"/>
      <c r="X20" s="3"/>
      <c r="Y20" s="3"/>
      <c r="Z20" s="3"/>
    </row>
    <row r="21" spans="1:26" x14ac:dyDescent="0.25">
      <c r="A21" s="165"/>
      <c r="B21" s="166"/>
      <c r="C21" s="41">
        <f>SUM(C18:C20)</f>
        <v>73000000</v>
      </c>
      <c r="D21" s="3"/>
      <c r="E21" s="42"/>
      <c r="F21" s="33"/>
      <c r="G21" s="43">
        <f>SUM(G10:G20)</f>
        <v>287886604.69480002</v>
      </c>
      <c r="H21" s="3"/>
      <c r="I21" s="2"/>
      <c r="J21" s="2"/>
      <c r="K21" s="2"/>
      <c r="L21" s="2"/>
      <c r="M21" s="2"/>
      <c r="N21" s="2"/>
      <c r="O21" s="2"/>
      <c r="P21" s="2"/>
      <c r="Q21" s="2"/>
      <c r="R21" s="2"/>
      <c r="S21" s="2"/>
      <c r="T21" s="3"/>
      <c r="U21" s="3"/>
      <c r="V21" s="3"/>
      <c r="W21" s="3"/>
      <c r="X21" s="3"/>
      <c r="Y21" s="3"/>
      <c r="Z21" s="3"/>
    </row>
    <row r="22" spans="1:26" x14ac:dyDescent="0.25">
      <c r="A22" s="44"/>
      <c r="B22" s="45" t="s">
        <v>26</v>
      </c>
      <c r="C22" s="46">
        <f>SUM(C13+C16+C21)</f>
        <v>765000480</v>
      </c>
      <c r="D22" s="3"/>
      <c r="E22" s="3"/>
      <c r="F22" s="3"/>
      <c r="G22" s="2"/>
      <c r="H22" s="2"/>
      <c r="I22" s="2"/>
      <c r="J22" s="2"/>
      <c r="K22" s="2"/>
      <c r="L22" s="2"/>
      <c r="M22" s="2"/>
      <c r="N22" s="2"/>
      <c r="O22" s="2"/>
      <c r="P22" s="2"/>
      <c r="Q22" s="2"/>
      <c r="R22" s="2"/>
      <c r="S22" s="2"/>
      <c r="T22" s="2"/>
      <c r="U22" s="2"/>
      <c r="V22" s="3"/>
      <c r="W22" s="3"/>
      <c r="X22" s="3"/>
      <c r="Y22" s="3"/>
      <c r="Z22" s="3"/>
    </row>
    <row r="23" spans="1:26" x14ac:dyDescent="0.25">
      <c r="A23" s="47"/>
      <c r="B23" s="48"/>
      <c r="C23" s="42"/>
      <c r="D23" s="49"/>
      <c r="E23" s="50"/>
      <c r="F23" s="50"/>
      <c r="G23" s="51"/>
      <c r="H23" s="52"/>
      <c r="I23" s="2"/>
      <c r="J23" s="2"/>
      <c r="K23" s="2"/>
      <c r="L23" s="2"/>
      <c r="M23" s="2"/>
      <c r="N23" s="2"/>
      <c r="O23" s="2"/>
      <c r="P23" s="2"/>
      <c r="Q23" s="2"/>
      <c r="R23" s="2"/>
      <c r="S23" s="2"/>
      <c r="T23" s="2"/>
      <c r="U23" s="2"/>
      <c r="V23" s="2"/>
      <c r="W23" s="3"/>
      <c r="X23" s="3"/>
      <c r="Y23" s="3"/>
      <c r="Z23" s="3"/>
    </row>
    <row r="24" spans="1:26" x14ac:dyDescent="0.25">
      <c r="A24" s="1"/>
      <c r="B24" s="48"/>
      <c r="C24" s="1"/>
      <c r="D24" s="1"/>
      <c r="E24" s="1"/>
      <c r="F24" s="1"/>
      <c r="G24" s="1"/>
      <c r="H24" s="2"/>
      <c r="I24" s="1"/>
      <c r="J24" s="1"/>
      <c r="K24" s="1"/>
      <c r="L24" s="1"/>
      <c r="M24" s="1"/>
      <c r="N24" s="1"/>
      <c r="O24" s="1"/>
      <c r="P24" s="1"/>
      <c r="Q24" s="1"/>
      <c r="R24" s="1"/>
      <c r="S24" s="1"/>
      <c r="T24" s="2"/>
      <c r="U24" s="2"/>
      <c r="V24" s="2"/>
      <c r="W24" s="3"/>
      <c r="X24" s="3"/>
      <c r="Y24" s="3"/>
      <c r="Z24" s="3"/>
    </row>
    <row r="25" spans="1:26" ht="15.75" x14ac:dyDescent="0.25">
      <c r="A25" s="189" t="s">
        <v>27</v>
      </c>
      <c r="B25" s="189"/>
      <c r="C25" s="189"/>
      <c r="D25" s="189"/>
      <c r="E25" s="189"/>
      <c r="F25" s="189"/>
      <c r="G25" s="189"/>
      <c r="H25" s="189"/>
      <c r="I25" s="189"/>
      <c r="J25" s="189"/>
      <c r="K25" s="189"/>
      <c r="L25" s="189"/>
      <c r="M25" s="189"/>
      <c r="N25" s="189"/>
      <c r="O25" s="189"/>
      <c r="P25" s="189"/>
      <c r="Q25" s="189"/>
      <c r="R25" s="189"/>
      <c r="S25" s="189"/>
      <c r="T25" s="54"/>
      <c r="U25" s="54"/>
      <c r="V25" s="54"/>
      <c r="W25" s="54"/>
      <c r="X25" s="54"/>
      <c r="Y25" s="3"/>
      <c r="Z25" s="3"/>
    </row>
    <row r="26" spans="1:26" x14ac:dyDescent="0.25">
      <c r="A26" s="197" t="s">
        <v>11</v>
      </c>
      <c r="B26" s="197" t="s">
        <v>28</v>
      </c>
      <c r="C26" s="197" t="s">
        <v>117</v>
      </c>
      <c r="D26" s="197" t="s">
        <v>118</v>
      </c>
      <c r="E26" s="55" t="s">
        <v>31</v>
      </c>
      <c r="F26" s="56" t="s">
        <v>32</v>
      </c>
      <c r="G26" s="56" t="s">
        <v>33</v>
      </c>
      <c r="H26" s="56" t="s">
        <v>34</v>
      </c>
      <c r="I26" s="56" t="s">
        <v>35</v>
      </c>
      <c r="J26" s="56" t="s">
        <v>36</v>
      </c>
      <c r="K26" s="56" t="s">
        <v>37</v>
      </c>
      <c r="L26" s="56" t="s">
        <v>38</v>
      </c>
      <c r="M26" s="56" t="s">
        <v>96</v>
      </c>
      <c r="N26" s="56" t="s">
        <v>97</v>
      </c>
      <c r="O26" s="56" t="s">
        <v>98</v>
      </c>
      <c r="P26" s="56" t="s">
        <v>99</v>
      </c>
      <c r="Q26" s="56" t="s">
        <v>100</v>
      </c>
      <c r="R26" s="56" t="s">
        <v>101</v>
      </c>
      <c r="S26" s="56" t="s">
        <v>102</v>
      </c>
      <c r="T26" s="11"/>
      <c r="U26" s="3"/>
      <c r="V26" s="3"/>
      <c r="W26" s="2"/>
      <c r="X26" s="2"/>
      <c r="Y26" s="3"/>
      <c r="Z26" s="3"/>
    </row>
    <row r="27" spans="1:26" x14ac:dyDescent="0.25">
      <c r="A27" s="197"/>
      <c r="B27" s="197"/>
      <c r="C27" s="197"/>
      <c r="D27" s="197"/>
      <c r="E27" s="169" t="s">
        <v>39</v>
      </c>
      <c r="F27" s="170"/>
      <c r="G27" s="170"/>
      <c r="H27" s="170"/>
      <c r="I27" s="170"/>
      <c r="J27" s="170"/>
      <c r="K27" s="170"/>
      <c r="L27" s="170"/>
      <c r="M27" s="170"/>
      <c r="N27" s="170"/>
      <c r="O27" s="170"/>
      <c r="P27" s="170"/>
      <c r="Q27" s="170"/>
      <c r="R27" s="170"/>
      <c r="S27" s="171"/>
      <c r="T27" s="58"/>
      <c r="U27" s="2"/>
      <c r="V27" s="2"/>
      <c r="W27" s="3"/>
      <c r="X27" s="3"/>
      <c r="Y27" s="3"/>
      <c r="Z27" s="3"/>
    </row>
    <row r="28" spans="1:26" x14ac:dyDescent="0.25">
      <c r="A28" s="59">
        <v>1</v>
      </c>
      <c r="B28" s="60" t="s">
        <v>119</v>
      </c>
      <c r="C28" s="10">
        <v>14394</v>
      </c>
      <c r="D28" s="61">
        <f>2414*1</f>
        <v>2414</v>
      </c>
      <c r="E28" s="62">
        <f>C28*D28</f>
        <v>34747116</v>
      </c>
      <c r="F28" s="63">
        <f>($D28*(1+$G$3))*$C28</f>
        <v>35963265.059999995</v>
      </c>
      <c r="G28" s="63">
        <f t="shared" ref="G28:I30" si="0">(F28*(1+$G$3))</f>
        <v>37221979.337099992</v>
      </c>
      <c r="H28" s="63">
        <f t="shared" si="0"/>
        <v>38524748.613898486</v>
      </c>
      <c r="I28" s="63">
        <f t="shared" si="0"/>
        <v>39873114.815384932</v>
      </c>
      <c r="J28" s="63">
        <f t="shared" ref="J28:J29" si="1">(I28*(1+$G$3))</f>
        <v>41268673.833923399</v>
      </c>
      <c r="K28" s="63">
        <f t="shared" ref="K28:K29" si="2">(J28*(1+$G$3))</f>
        <v>42713077.418110713</v>
      </c>
      <c r="L28" s="63">
        <f t="shared" ref="L28:L29" si="3">(K28*(1+$G$3))</f>
        <v>44208035.127744585</v>
      </c>
      <c r="M28" s="63">
        <f t="shared" ref="M28:M29" si="4">(L28*(1+$G$3))</f>
        <v>45755316.357215643</v>
      </c>
      <c r="N28" s="63">
        <f t="shared" ref="N28:N29" si="5">(M28*(1+$G$3))</f>
        <v>47356752.429718189</v>
      </c>
      <c r="O28" s="63">
        <f t="shared" ref="O28:O29" si="6">(N28*(1+$G$3))</f>
        <v>49014238.764758319</v>
      </c>
      <c r="P28" s="63">
        <f t="shared" ref="P28:P29" si="7">(O28*(1+$G$3))</f>
        <v>50729737.121524855</v>
      </c>
      <c r="Q28" s="63">
        <f t="shared" ref="Q28:Q29" si="8">(P28*(1+$G$3))</f>
        <v>52505277.920778222</v>
      </c>
      <c r="R28" s="63">
        <f t="shared" ref="R28:R29" si="9">(Q28*(1+$G$3))</f>
        <v>54342962.648005456</v>
      </c>
      <c r="S28" s="63">
        <f t="shared" ref="S28:S29" si="10">(R28*(1+$G$3))</f>
        <v>56244966.340685643</v>
      </c>
      <c r="T28" s="154" t="s">
        <v>41</v>
      </c>
      <c r="U28" s="155"/>
      <c r="V28" s="155"/>
      <c r="W28" s="155"/>
      <c r="X28" s="155"/>
      <c r="Y28" s="155"/>
      <c r="Z28" s="3"/>
    </row>
    <row r="29" spans="1:26" x14ac:dyDescent="0.25">
      <c r="A29" s="59">
        <v>2</v>
      </c>
      <c r="B29" s="60" t="s">
        <v>120</v>
      </c>
      <c r="C29" s="10">
        <v>1136</v>
      </c>
      <c r="D29" s="61">
        <f>60*1</f>
        <v>60</v>
      </c>
      <c r="E29" s="62">
        <f t="shared" ref="E29" si="11">C29*D29</f>
        <v>68160</v>
      </c>
      <c r="F29" s="63">
        <f>($D29*(1+$G$3))*$C29</f>
        <v>70545.599999999991</v>
      </c>
      <c r="G29" s="63">
        <f t="shared" si="0"/>
        <v>73014.695999999982</v>
      </c>
      <c r="H29" s="63">
        <f t="shared" si="0"/>
        <v>75570.210359999968</v>
      </c>
      <c r="I29" s="63">
        <f t="shared" si="0"/>
        <v>78215.167722599959</v>
      </c>
      <c r="J29" s="63">
        <f t="shared" si="1"/>
        <v>80952.698592890956</v>
      </c>
      <c r="K29" s="63">
        <f t="shared" si="2"/>
        <v>83786.04304364213</v>
      </c>
      <c r="L29" s="63">
        <f t="shared" si="3"/>
        <v>86718.554550169603</v>
      </c>
      <c r="M29" s="63">
        <f t="shared" si="4"/>
        <v>89753.703959425533</v>
      </c>
      <c r="N29" s="63">
        <f t="shared" si="5"/>
        <v>92895.083598005425</v>
      </c>
      <c r="O29" s="63">
        <f t="shared" si="6"/>
        <v>96146.411523935603</v>
      </c>
      <c r="P29" s="63">
        <f t="shared" si="7"/>
        <v>99511.535927273348</v>
      </c>
      <c r="Q29" s="63">
        <f t="shared" si="8"/>
        <v>102994.43968472791</v>
      </c>
      <c r="R29" s="63">
        <f t="shared" si="9"/>
        <v>106599.24507369338</v>
      </c>
      <c r="S29" s="63">
        <f t="shared" si="10"/>
        <v>110330.21865127265</v>
      </c>
      <c r="T29" s="64"/>
      <c r="U29" s="65"/>
      <c r="V29" s="65"/>
      <c r="W29" s="65"/>
      <c r="X29" s="65"/>
      <c r="Y29" s="65"/>
      <c r="Z29" s="3"/>
    </row>
    <row r="30" spans="1:26" x14ac:dyDescent="0.25">
      <c r="A30" s="59">
        <v>3</v>
      </c>
      <c r="B30" s="78" t="s">
        <v>121</v>
      </c>
      <c r="C30" s="10">
        <v>800</v>
      </c>
      <c r="D30" s="61">
        <v>0</v>
      </c>
      <c r="E30" s="62">
        <f>C30*D30</f>
        <v>0</v>
      </c>
      <c r="F30" s="63">
        <f>($D30*(1+$G$3)^2)*($C$30*1.05)</f>
        <v>0</v>
      </c>
      <c r="G30" s="63">
        <f t="shared" si="0"/>
        <v>0</v>
      </c>
      <c r="H30" s="63">
        <f t="shared" si="0"/>
        <v>0</v>
      </c>
      <c r="I30" s="63">
        <f t="shared" si="0"/>
        <v>0</v>
      </c>
      <c r="J30" s="122"/>
      <c r="K30" s="122"/>
      <c r="L30" s="122"/>
      <c r="M30" s="122"/>
      <c r="N30" s="122"/>
      <c r="O30" s="122"/>
      <c r="P30" s="122"/>
      <c r="Q30" s="122"/>
      <c r="R30" s="122"/>
      <c r="S30" s="122"/>
      <c r="T30" s="64"/>
      <c r="U30" s="1"/>
      <c r="V30" s="2"/>
      <c r="W30" s="2"/>
      <c r="X30" s="2"/>
      <c r="Y30" s="3"/>
      <c r="Z30" s="3"/>
    </row>
    <row r="31" spans="1:26" x14ac:dyDescent="0.25">
      <c r="A31" s="107">
        <v>4</v>
      </c>
      <c r="B31" s="60" t="s">
        <v>122</v>
      </c>
      <c r="C31" s="10"/>
      <c r="D31" s="61">
        <f>288000*300*1</f>
        <v>86400000</v>
      </c>
      <c r="E31" s="62">
        <f t="shared" ref="E31:S31" si="12">288000*300</f>
        <v>86400000</v>
      </c>
      <c r="F31" s="63">
        <f>E31*(1+$G$3)</f>
        <v>89424000</v>
      </c>
      <c r="G31" s="63">
        <f t="shared" ref="G31:H31" si="13">F31*(1+$G$3)</f>
        <v>92553840</v>
      </c>
      <c r="H31" s="63">
        <f t="shared" si="13"/>
        <v>95793224.399999991</v>
      </c>
      <c r="I31" s="63">
        <f t="shared" si="12"/>
        <v>86400000</v>
      </c>
      <c r="J31" s="63">
        <f t="shared" si="12"/>
        <v>86400000</v>
      </c>
      <c r="K31" s="63">
        <f t="shared" si="12"/>
        <v>86400000</v>
      </c>
      <c r="L31" s="63">
        <f t="shared" si="12"/>
        <v>86400000</v>
      </c>
      <c r="M31" s="63">
        <f t="shared" si="12"/>
        <v>86400000</v>
      </c>
      <c r="N31" s="63">
        <f t="shared" si="12"/>
        <v>86400000</v>
      </c>
      <c r="O31" s="63">
        <f t="shared" si="12"/>
        <v>86400000</v>
      </c>
      <c r="P31" s="63">
        <f t="shared" si="12"/>
        <v>86400000</v>
      </c>
      <c r="Q31" s="63">
        <f t="shared" si="12"/>
        <v>86400000</v>
      </c>
      <c r="R31" s="63">
        <f t="shared" si="12"/>
        <v>86400000</v>
      </c>
      <c r="S31" s="63">
        <f t="shared" si="12"/>
        <v>86400000</v>
      </c>
      <c r="T31" s="3"/>
      <c r="U31" s="66"/>
      <c r="V31" s="66"/>
      <c r="W31" s="2"/>
      <c r="X31" s="2"/>
      <c r="Y31" s="3"/>
      <c r="Z31" s="3"/>
    </row>
    <row r="32" spans="1:26" x14ac:dyDescent="0.25">
      <c r="A32" s="5"/>
      <c r="B32" s="156" t="s">
        <v>43</v>
      </c>
      <c r="C32" s="157"/>
      <c r="D32" s="158"/>
      <c r="E32" s="46">
        <f>SUM(E28:E31)</f>
        <v>121215276</v>
      </c>
      <c r="F32" s="46">
        <f>SUM(F28:F31)</f>
        <v>125457810.66</v>
      </c>
      <c r="G32" s="46">
        <f t="shared" ref="G32:H32" si="14">SUM(G28:G31)</f>
        <v>129848834.03309999</v>
      </c>
      <c r="H32" s="46">
        <f t="shared" si="14"/>
        <v>134393543.22425848</v>
      </c>
      <c r="I32" s="46">
        <f>SUM(I28:I31)</f>
        <v>126351329.98310754</v>
      </c>
      <c r="J32" s="46">
        <f t="shared" ref="J32:N32" si="15">SUM(J28:J31)</f>
        <v>127749626.5325163</v>
      </c>
      <c r="K32" s="46">
        <f t="shared" si="15"/>
        <v>129196863.46115436</v>
      </c>
      <c r="L32" s="46">
        <f t="shared" si="15"/>
        <v>130694753.68229476</v>
      </c>
      <c r="M32" s="46">
        <f t="shared" si="15"/>
        <v>132245070.06117508</v>
      </c>
      <c r="N32" s="46">
        <f t="shared" si="15"/>
        <v>133849647.51331618</v>
      </c>
      <c r="O32" s="46">
        <f t="shared" ref="O32" si="16">SUM(O28:O31)</f>
        <v>135510385.17628226</v>
      </c>
      <c r="P32" s="46">
        <f t="shared" ref="P32" si="17">SUM(P28:P31)</f>
        <v>137229248.65745214</v>
      </c>
      <c r="Q32" s="46">
        <f t="shared" ref="Q32" si="18">SUM(Q28:Q31)</f>
        <v>139008272.36046296</v>
      </c>
      <c r="R32" s="46">
        <f t="shared" ref="R32" si="19">SUM(R28:R31)</f>
        <v>140849561.89307916</v>
      </c>
      <c r="S32" s="46">
        <f t="shared" ref="S32" si="20">SUM(S28:S31)</f>
        <v>142755296.5593369</v>
      </c>
      <c r="T32" s="66"/>
      <c r="U32" s="2"/>
      <c r="V32" s="2"/>
      <c r="W32" s="3"/>
      <c r="X32" s="3"/>
      <c r="Y32" s="3"/>
      <c r="Z32" s="3"/>
    </row>
    <row r="33" spans="1:26" x14ac:dyDescent="0.25">
      <c r="A33" s="2" t="s">
        <v>123</v>
      </c>
      <c r="B33" s="48"/>
      <c r="C33" s="67"/>
      <c r="D33" s="68"/>
      <c r="E33" s="68"/>
      <c r="F33" s="68"/>
      <c r="G33" s="68"/>
      <c r="H33" s="68"/>
      <c r="I33" s="1"/>
      <c r="J33" s="1"/>
      <c r="K33" s="1"/>
      <c r="L33" s="1"/>
      <c r="M33" s="1"/>
      <c r="N33" s="1"/>
      <c r="O33" s="1"/>
      <c r="P33" s="1"/>
      <c r="Q33" s="1"/>
      <c r="R33" s="1"/>
      <c r="S33" s="1"/>
      <c r="T33" s="11"/>
      <c r="U33" s="66"/>
      <c r="V33" s="66"/>
      <c r="W33" s="2"/>
      <c r="X33" s="2"/>
      <c r="Y33" s="3"/>
      <c r="Z33" s="3"/>
    </row>
    <row r="34" spans="1:26" x14ac:dyDescent="0.25">
      <c r="A34" s="2"/>
      <c r="B34" s="69"/>
      <c r="C34" s="67"/>
      <c r="D34" s="68"/>
      <c r="E34" s="68"/>
      <c r="F34" s="68"/>
      <c r="G34" s="68"/>
      <c r="H34" s="68"/>
      <c r="I34" s="1"/>
      <c r="J34" s="1"/>
      <c r="K34" s="1"/>
      <c r="L34" s="1"/>
      <c r="M34" s="1"/>
      <c r="N34" s="1"/>
      <c r="O34" s="1"/>
      <c r="P34" s="1"/>
      <c r="Q34" s="1"/>
      <c r="R34" s="1"/>
      <c r="S34" s="1"/>
      <c r="T34" s="11"/>
      <c r="U34" s="3"/>
      <c r="V34" s="3"/>
      <c r="W34" s="2"/>
      <c r="X34" s="2"/>
      <c r="Y34" s="3"/>
      <c r="Z34" s="3"/>
    </row>
    <row r="35" spans="1:26" ht="15.75" x14ac:dyDescent="0.25">
      <c r="A35" s="185" t="s">
        <v>44</v>
      </c>
      <c r="B35" s="186"/>
      <c r="C35" s="186"/>
      <c r="D35" s="186"/>
      <c r="E35" s="186"/>
      <c r="F35" s="186"/>
      <c r="G35" s="186"/>
      <c r="H35" s="186"/>
      <c r="I35" s="186"/>
      <c r="J35" s="186"/>
      <c r="K35" s="186"/>
      <c r="L35" s="186"/>
      <c r="M35" s="186"/>
      <c r="N35" s="186"/>
      <c r="O35" s="186"/>
      <c r="P35" s="186"/>
      <c r="Q35" s="186"/>
      <c r="R35" s="186"/>
      <c r="S35" s="186"/>
      <c r="T35" s="187"/>
      <c r="U35" s="54"/>
      <c r="V35" s="54"/>
      <c r="W35" s="54"/>
      <c r="X35" s="44"/>
      <c r="Y35" s="3"/>
      <c r="Z35" s="3"/>
    </row>
    <row r="36" spans="1:26" x14ac:dyDescent="0.25">
      <c r="A36" s="56" t="s">
        <v>11</v>
      </c>
      <c r="B36" s="70" t="s">
        <v>7</v>
      </c>
      <c r="C36" s="71" t="s">
        <v>45</v>
      </c>
      <c r="D36" s="71" t="s">
        <v>46</v>
      </c>
      <c r="E36" s="55" t="s">
        <v>31</v>
      </c>
      <c r="F36" s="56" t="s">
        <v>32</v>
      </c>
      <c r="G36" s="56" t="s">
        <v>33</v>
      </c>
      <c r="H36" s="56" t="s">
        <v>34</v>
      </c>
      <c r="I36" s="56" t="s">
        <v>35</v>
      </c>
      <c r="J36" s="56" t="s">
        <v>36</v>
      </c>
      <c r="K36" s="56" t="s">
        <v>37</v>
      </c>
      <c r="L36" s="56" t="s">
        <v>38</v>
      </c>
      <c r="M36" s="56" t="s">
        <v>96</v>
      </c>
      <c r="N36" s="56" t="s">
        <v>97</v>
      </c>
      <c r="O36" s="56" t="s">
        <v>98</v>
      </c>
      <c r="P36" s="56" t="s">
        <v>99</v>
      </c>
      <c r="Q36" s="56" t="s">
        <v>100</v>
      </c>
      <c r="R36" s="56" t="s">
        <v>101</v>
      </c>
      <c r="S36" s="56" t="s">
        <v>102</v>
      </c>
      <c r="T36" s="14" t="s">
        <v>9</v>
      </c>
      <c r="U36" s="3"/>
      <c r="V36" s="3"/>
      <c r="W36" s="3"/>
      <c r="X36" s="3"/>
      <c r="Y36" s="3"/>
      <c r="Z36" s="3"/>
    </row>
    <row r="37" spans="1:26" ht="15.75" customHeight="1" x14ac:dyDescent="0.25">
      <c r="A37" s="101"/>
      <c r="B37" s="163" t="s">
        <v>47</v>
      </c>
      <c r="C37" s="163"/>
      <c r="D37" s="163"/>
      <c r="E37" s="163"/>
      <c r="F37" s="163"/>
      <c r="G37" s="163"/>
      <c r="H37" s="163"/>
      <c r="I37" s="163"/>
      <c r="J37" s="163"/>
      <c r="K37" s="163"/>
      <c r="L37" s="163"/>
      <c r="M37" s="163"/>
      <c r="N37" s="163"/>
      <c r="O37" s="163"/>
      <c r="P37" s="163"/>
      <c r="Q37" s="163"/>
      <c r="R37" s="163"/>
      <c r="S37" s="163"/>
      <c r="T37" s="164"/>
      <c r="U37" s="3"/>
      <c r="V37" s="3"/>
      <c r="W37" s="3"/>
      <c r="X37" s="3"/>
      <c r="Y37" s="3"/>
      <c r="Z37" s="3"/>
    </row>
    <row r="38" spans="1:26" ht="25.5" x14ac:dyDescent="0.25">
      <c r="A38" s="59" t="s">
        <v>48</v>
      </c>
      <c r="B38" s="74" t="s">
        <v>124</v>
      </c>
      <c r="C38" s="9"/>
      <c r="D38" s="24">
        <v>0</v>
      </c>
      <c r="E38" s="75">
        <f t="shared" ref="E38:E49" si="21">C38*D38</f>
        <v>0</v>
      </c>
      <c r="F38" s="75">
        <f>E38*(1+$G$3)</f>
        <v>0</v>
      </c>
      <c r="G38" s="75">
        <f>F38*(1+$G$3)</f>
        <v>0</v>
      </c>
      <c r="H38" s="75">
        <f>G38*(1+$G$3)</f>
        <v>0</v>
      </c>
      <c r="I38" s="75">
        <f>H38*(1+$G$3)</f>
        <v>0</v>
      </c>
      <c r="J38" s="75"/>
      <c r="K38" s="75"/>
      <c r="L38" s="75"/>
      <c r="M38" s="75"/>
      <c r="N38" s="75"/>
      <c r="O38" s="75"/>
      <c r="P38" s="75"/>
      <c r="Q38" s="75"/>
      <c r="R38" s="75"/>
      <c r="S38" s="75"/>
      <c r="T38" s="76" t="s">
        <v>125</v>
      </c>
      <c r="U38" s="2"/>
      <c r="V38" s="2"/>
      <c r="W38" s="2"/>
      <c r="X38" s="3"/>
      <c r="Y38" s="3"/>
      <c r="Z38" s="3"/>
    </row>
    <row r="39" spans="1:26" x14ac:dyDescent="0.25">
      <c r="A39" s="59" t="s">
        <v>51</v>
      </c>
      <c r="B39" s="74" t="s">
        <v>55</v>
      </c>
      <c r="C39" s="9"/>
      <c r="D39" s="24">
        <v>0</v>
      </c>
      <c r="E39" s="75">
        <f t="shared" si="21"/>
        <v>0</v>
      </c>
      <c r="F39" s="75">
        <f t="shared" ref="F39:F40" si="22">E39*(1+$G$3)</f>
        <v>0</v>
      </c>
      <c r="G39" s="75">
        <f>F39*(1+$G$3)</f>
        <v>0</v>
      </c>
      <c r="H39" s="75"/>
      <c r="I39" s="75"/>
      <c r="J39" s="75"/>
      <c r="K39" s="75"/>
      <c r="L39" s="75"/>
      <c r="M39" s="75"/>
      <c r="N39" s="75"/>
      <c r="O39" s="75"/>
      <c r="P39" s="75"/>
      <c r="Q39" s="75"/>
      <c r="R39" s="75"/>
      <c r="S39" s="75"/>
      <c r="T39" s="10"/>
      <c r="U39" s="2"/>
      <c r="V39" s="2"/>
      <c r="W39" s="2"/>
      <c r="X39" s="3"/>
      <c r="Y39" s="3"/>
      <c r="Z39" s="3"/>
    </row>
    <row r="40" spans="1:26" x14ac:dyDescent="0.25">
      <c r="A40" s="59" t="s">
        <v>54</v>
      </c>
      <c r="B40" s="60" t="s">
        <v>58</v>
      </c>
      <c r="C40" s="9">
        <v>1</v>
      </c>
      <c r="D40" s="24">
        <v>1114733</v>
      </c>
      <c r="E40" s="75">
        <f t="shared" si="21"/>
        <v>1114733</v>
      </c>
      <c r="F40" s="75">
        <f t="shared" si="22"/>
        <v>1153748.6549999998</v>
      </c>
      <c r="G40" s="75">
        <f>F40*(1+$G$3)</f>
        <v>1194129.8579249997</v>
      </c>
      <c r="H40" s="75">
        <f>G40*(1+$G$3)</f>
        <v>1235924.4029523747</v>
      </c>
      <c r="I40" s="75">
        <f>H40*(1+$G$3)</f>
        <v>1279181.7570557077</v>
      </c>
      <c r="J40" s="75">
        <f t="shared" ref="J40:S40" si="23">I40*(1+$G$3)</f>
        <v>1323953.1185526573</v>
      </c>
      <c r="K40" s="75">
        <f t="shared" si="23"/>
        <v>1370291.4777020002</v>
      </c>
      <c r="L40" s="75">
        <f t="shared" si="23"/>
        <v>1418251.6794215702</v>
      </c>
      <c r="M40" s="75">
        <f t="shared" si="23"/>
        <v>1467890.4882013251</v>
      </c>
      <c r="N40" s="75">
        <f t="shared" si="23"/>
        <v>1519266.6552883713</v>
      </c>
      <c r="O40" s="75">
        <f t="shared" si="23"/>
        <v>1572440.9882234642</v>
      </c>
      <c r="P40" s="75">
        <f t="shared" si="23"/>
        <v>1627476.4228112854</v>
      </c>
      <c r="Q40" s="75">
        <f t="shared" si="23"/>
        <v>1684438.0976096801</v>
      </c>
      <c r="R40" s="75">
        <f t="shared" si="23"/>
        <v>1743393.4310260189</v>
      </c>
      <c r="S40" s="75">
        <f t="shared" si="23"/>
        <v>1804412.2011119295</v>
      </c>
      <c r="T40" s="10" t="s">
        <v>126</v>
      </c>
      <c r="U40" s="2"/>
      <c r="V40" s="3"/>
      <c r="W40" s="3"/>
      <c r="X40" s="3"/>
      <c r="Y40" s="3"/>
      <c r="Z40" s="3"/>
    </row>
    <row r="41" spans="1:26" x14ac:dyDescent="0.25">
      <c r="A41" s="59" t="s">
        <v>57</v>
      </c>
      <c r="B41" s="60"/>
      <c r="C41" s="9"/>
      <c r="D41" s="24"/>
      <c r="E41" s="75">
        <f t="shared" si="21"/>
        <v>0</v>
      </c>
      <c r="F41" s="75">
        <f>D41*C41</f>
        <v>0</v>
      </c>
      <c r="G41" s="75">
        <f>F41*(1+$G$3)</f>
        <v>0</v>
      </c>
      <c r="H41" s="75">
        <f t="shared" ref="H41:I41" si="24">G41</f>
        <v>0</v>
      </c>
      <c r="I41" s="75">
        <f t="shared" si="24"/>
        <v>0</v>
      </c>
      <c r="J41" s="75"/>
      <c r="K41" s="75"/>
      <c r="L41" s="75"/>
      <c r="M41" s="75"/>
      <c r="N41" s="75"/>
      <c r="O41" s="75"/>
      <c r="P41" s="75"/>
      <c r="Q41" s="75"/>
      <c r="R41" s="75"/>
      <c r="S41" s="75"/>
      <c r="T41" s="10"/>
      <c r="U41" s="2"/>
      <c r="V41" s="3"/>
      <c r="W41" s="3"/>
      <c r="X41" s="3"/>
      <c r="Y41" s="3"/>
      <c r="Z41" s="3"/>
    </row>
    <row r="42" spans="1:26" x14ac:dyDescent="0.25">
      <c r="A42" s="56">
        <v>2</v>
      </c>
      <c r="B42" s="140" t="s">
        <v>60</v>
      </c>
      <c r="C42" s="141"/>
      <c r="D42" s="141"/>
      <c r="E42" s="141"/>
      <c r="F42" s="141"/>
      <c r="G42" s="141"/>
      <c r="H42" s="141"/>
      <c r="I42" s="142"/>
      <c r="J42" s="103"/>
      <c r="K42" s="103"/>
      <c r="L42" s="103"/>
      <c r="M42" s="103"/>
      <c r="N42" s="103"/>
      <c r="O42" s="103"/>
      <c r="P42" s="103"/>
      <c r="Q42" s="103"/>
      <c r="R42" s="103"/>
      <c r="S42" s="103"/>
      <c r="T42" s="77"/>
      <c r="U42" s="2"/>
      <c r="V42" s="3"/>
      <c r="W42" s="3"/>
      <c r="X42" s="3"/>
      <c r="Y42" s="3"/>
      <c r="Z42" s="3"/>
    </row>
    <row r="43" spans="1:26" ht="25.5" x14ac:dyDescent="0.25">
      <c r="A43" s="59" t="s">
        <v>48</v>
      </c>
      <c r="B43" s="78" t="s">
        <v>61</v>
      </c>
      <c r="C43" s="9">
        <v>1</v>
      </c>
      <c r="D43" s="24">
        <f>1220803</f>
        <v>1220803</v>
      </c>
      <c r="E43" s="75">
        <f>C43*D43</f>
        <v>1220803</v>
      </c>
      <c r="F43" s="75">
        <f>E43*(1+$G$3)</f>
        <v>1263531.105</v>
      </c>
      <c r="G43" s="75">
        <f>F43*(1+$G$3)</f>
        <v>1307754.693675</v>
      </c>
      <c r="H43" s="75">
        <f>G43*(1+$G$3)</f>
        <v>1353526.1079536248</v>
      </c>
      <c r="I43" s="75">
        <f>H43*(1+$G$3)</f>
        <v>1400899.5217320016</v>
      </c>
      <c r="J43" s="75">
        <f t="shared" ref="J43:S44" si="25">I43*(1+$G$3)</f>
        <v>1449931.0049926215</v>
      </c>
      <c r="K43" s="75">
        <f t="shared" si="25"/>
        <v>1500678.5901673632</v>
      </c>
      <c r="L43" s="75">
        <f t="shared" si="25"/>
        <v>1553202.3408232208</v>
      </c>
      <c r="M43" s="75">
        <f t="shared" si="25"/>
        <v>1607564.4227520335</v>
      </c>
      <c r="N43" s="75">
        <f t="shared" si="25"/>
        <v>1663829.1775483545</v>
      </c>
      <c r="O43" s="75">
        <f t="shared" si="25"/>
        <v>1722063.1987625468</v>
      </c>
      <c r="P43" s="75">
        <f t="shared" si="25"/>
        <v>1782335.4107192357</v>
      </c>
      <c r="Q43" s="75">
        <f t="shared" si="25"/>
        <v>1844717.1500944088</v>
      </c>
      <c r="R43" s="75">
        <f t="shared" si="25"/>
        <v>1909282.250347713</v>
      </c>
      <c r="S43" s="75">
        <f t="shared" si="25"/>
        <v>1976107.1291098827</v>
      </c>
      <c r="T43" s="76" t="s">
        <v>127</v>
      </c>
      <c r="U43" s="2"/>
      <c r="V43" s="3"/>
      <c r="W43" s="3"/>
      <c r="X43" s="3"/>
      <c r="Y43" s="3"/>
      <c r="Z43" s="3"/>
    </row>
    <row r="44" spans="1:26" x14ac:dyDescent="0.25">
      <c r="A44" s="56" t="s">
        <v>51</v>
      </c>
      <c r="B44" s="74" t="s">
        <v>128</v>
      </c>
      <c r="C44" s="9">
        <v>8</v>
      </c>
      <c r="D44" s="24">
        <f>3000000</f>
        <v>3000000</v>
      </c>
      <c r="E44" s="75">
        <f t="shared" ref="E44:E46" si="26">C44*D44</f>
        <v>24000000</v>
      </c>
      <c r="F44" s="75">
        <f t="shared" ref="F44:I44" si="27">E44*(1+$G$3)</f>
        <v>24839999.999999996</v>
      </c>
      <c r="G44" s="75">
        <f t="shared" si="27"/>
        <v>25709399.999999993</v>
      </c>
      <c r="H44" s="75">
        <f t="shared" si="27"/>
        <v>26609228.999999989</v>
      </c>
      <c r="I44" s="75">
        <f t="shared" si="27"/>
        <v>27540552.014999986</v>
      </c>
      <c r="J44" s="75">
        <f t="shared" si="25"/>
        <v>28504471.335524984</v>
      </c>
      <c r="K44" s="75">
        <f t="shared" si="25"/>
        <v>29502127.832268357</v>
      </c>
      <c r="L44" s="75">
        <f t="shared" si="25"/>
        <v>30534702.306397747</v>
      </c>
      <c r="M44" s="75">
        <f t="shared" si="25"/>
        <v>31603416.887121666</v>
      </c>
      <c r="N44" s="75">
        <f t="shared" si="25"/>
        <v>32709536.47817092</v>
      </c>
      <c r="O44" s="75">
        <f t="shared" si="25"/>
        <v>33854370.2549069</v>
      </c>
      <c r="P44" s="75">
        <f t="shared" si="25"/>
        <v>35039273.213828638</v>
      </c>
      <c r="Q44" s="75">
        <f t="shared" si="25"/>
        <v>36265647.776312634</v>
      </c>
      <c r="R44" s="75">
        <f t="shared" si="25"/>
        <v>37534945.448483571</v>
      </c>
      <c r="S44" s="75">
        <f t="shared" si="25"/>
        <v>38848668.539180495</v>
      </c>
      <c r="T44" s="76"/>
      <c r="U44" s="2"/>
      <c r="V44" s="3"/>
      <c r="W44" s="3"/>
      <c r="X44" s="3"/>
      <c r="Y44" s="3"/>
      <c r="Z44" s="3"/>
    </row>
    <row r="45" spans="1:26" ht="25.5" x14ac:dyDescent="0.25">
      <c r="A45" s="56" t="s">
        <v>54</v>
      </c>
      <c r="B45" s="74" t="s">
        <v>129</v>
      </c>
      <c r="C45" s="9">
        <v>1</v>
      </c>
      <c r="D45" s="24">
        <v>3000000</v>
      </c>
      <c r="E45" s="75">
        <v>3000000</v>
      </c>
      <c r="F45" s="75">
        <v>3000000</v>
      </c>
      <c r="G45" s="75">
        <v>3000000</v>
      </c>
      <c r="H45" s="75">
        <v>3000000</v>
      </c>
      <c r="I45" s="75">
        <v>3000000</v>
      </c>
      <c r="J45" s="75">
        <v>3000000</v>
      </c>
      <c r="K45" s="75">
        <v>3000000</v>
      </c>
      <c r="L45" s="75">
        <v>3000000</v>
      </c>
      <c r="M45" s="75">
        <v>3000000</v>
      </c>
      <c r="N45" s="75">
        <v>3000000</v>
      </c>
      <c r="O45" s="75">
        <v>3000000</v>
      </c>
      <c r="P45" s="75">
        <v>3000000</v>
      </c>
      <c r="Q45" s="75">
        <v>3000000</v>
      </c>
      <c r="R45" s="75">
        <v>3000000</v>
      </c>
      <c r="S45" s="75">
        <v>3000000</v>
      </c>
      <c r="T45" s="76" t="s">
        <v>130</v>
      </c>
      <c r="U45" s="2"/>
      <c r="V45" s="3"/>
      <c r="W45" s="3"/>
      <c r="X45" s="3"/>
      <c r="Y45" s="3"/>
      <c r="Z45" s="3"/>
    </row>
    <row r="46" spans="1:26" ht="25.5" x14ac:dyDescent="0.25">
      <c r="A46" s="56" t="s">
        <v>57</v>
      </c>
      <c r="B46" s="74" t="s">
        <v>131</v>
      </c>
      <c r="C46" s="9">
        <v>1</v>
      </c>
      <c r="D46" s="24">
        <f>8*204000+2188109</f>
        <v>3820109</v>
      </c>
      <c r="E46" s="75">
        <f t="shared" si="26"/>
        <v>3820109</v>
      </c>
      <c r="F46" s="75">
        <f>D46*C46</f>
        <v>3820109</v>
      </c>
      <c r="G46" s="75">
        <f>F46</f>
        <v>3820109</v>
      </c>
      <c r="H46" s="75">
        <f>G46</f>
        <v>3820109</v>
      </c>
      <c r="I46" s="75">
        <f>H46</f>
        <v>3820109</v>
      </c>
      <c r="J46" s="75">
        <f t="shared" ref="J46:S46" si="28">I46</f>
        <v>3820109</v>
      </c>
      <c r="K46" s="75">
        <f t="shared" si="28"/>
        <v>3820109</v>
      </c>
      <c r="L46" s="75">
        <f t="shared" si="28"/>
        <v>3820109</v>
      </c>
      <c r="M46" s="75">
        <f t="shared" si="28"/>
        <v>3820109</v>
      </c>
      <c r="N46" s="75">
        <f t="shared" si="28"/>
        <v>3820109</v>
      </c>
      <c r="O46" s="75">
        <f t="shared" si="28"/>
        <v>3820109</v>
      </c>
      <c r="P46" s="75">
        <f t="shared" si="28"/>
        <v>3820109</v>
      </c>
      <c r="Q46" s="75">
        <f t="shared" si="28"/>
        <v>3820109</v>
      </c>
      <c r="R46" s="75">
        <f t="shared" si="28"/>
        <v>3820109</v>
      </c>
      <c r="S46" s="75">
        <f t="shared" si="28"/>
        <v>3820109</v>
      </c>
      <c r="T46" s="76" t="s">
        <v>132</v>
      </c>
      <c r="U46" s="2"/>
      <c r="V46" s="3"/>
      <c r="W46" s="3"/>
      <c r="X46" s="3"/>
      <c r="Y46" s="3"/>
      <c r="Z46" s="3"/>
    </row>
    <row r="47" spans="1:26" x14ac:dyDescent="0.25">
      <c r="A47" s="56">
        <v>3</v>
      </c>
      <c r="B47" s="162"/>
      <c r="C47" s="163"/>
      <c r="D47" s="163"/>
      <c r="E47" s="163"/>
      <c r="F47" s="163"/>
      <c r="G47" s="163"/>
      <c r="H47" s="163"/>
      <c r="I47" s="164"/>
      <c r="J47" s="79"/>
      <c r="K47" s="79"/>
      <c r="L47" s="79"/>
      <c r="M47" s="79"/>
      <c r="N47" s="79"/>
      <c r="O47" s="79"/>
      <c r="P47" s="79"/>
      <c r="Q47" s="79"/>
      <c r="R47" s="79"/>
      <c r="S47" s="79"/>
      <c r="T47" s="77"/>
      <c r="U47" s="2"/>
      <c r="V47" s="3"/>
      <c r="W47" s="3"/>
      <c r="X47" s="3"/>
      <c r="Y47" s="3"/>
      <c r="Z47" s="3"/>
    </row>
    <row r="48" spans="1:26" x14ac:dyDescent="0.25">
      <c r="A48" s="59" t="s">
        <v>48</v>
      </c>
      <c r="B48" s="78" t="s">
        <v>133</v>
      </c>
      <c r="C48" s="9">
        <v>0</v>
      </c>
      <c r="D48" s="24"/>
      <c r="E48" s="75">
        <f t="shared" si="21"/>
        <v>0</v>
      </c>
      <c r="F48" s="75"/>
      <c r="G48" s="75">
        <f t="shared" ref="F48:I49" si="29">F48*(1+$G$3)</f>
        <v>0</v>
      </c>
      <c r="H48" s="75"/>
      <c r="I48" s="75"/>
      <c r="J48" s="75"/>
      <c r="K48" s="75"/>
      <c r="L48" s="75"/>
      <c r="M48" s="75"/>
      <c r="N48" s="75"/>
      <c r="O48" s="75"/>
      <c r="P48" s="75"/>
      <c r="Q48" s="75"/>
      <c r="R48" s="75"/>
      <c r="S48" s="75"/>
      <c r="T48" s="10"/>
      <c r="U48" s="2"/>
      <c r="V48" s="3"/>
      <c r="W48" s="3"/>
      <c r="X48" s="3"/>
      <c r="Y48" s="3"/>
      <c r="Z48" s="3"/>
    </row>
    <row r="49" spans="1:26" x14ac:dyDescent="0.25">
      <c r="A49" s="59" t="s">
        <v>51</v>
      </c>
      <c r="B49" s="78" t="s">
        <v>77</v>
      </c>
      <c r="C49" s="9">
        <v>0</v>
      </c>
      <c r="D49" s="24">
        <v>0</v>
      </c>
      <c r="E49" s="75">
        <f t="shared" si="21"/>
        <v>0</v>
      </c>
      <c r="F49" s="75">
        <f t="shared" si="29"/>
        <v>0</v>
      </c>
      <c r="G49" s="75">
        <f t="shared" si="29"/>
        <v>0</v>
      </c>
      <c r="H49" s="75">
        <f t="shared" si="29"/>
        <v>0</v>
      </c>
      <c r="I49" s="75">
        <f t="shared" si="29"/>
        <v>0</v>
      </c>
      <c r="J49" s="75"/>
      <c r="K49" s="75"/>
      <c r="L49" s="75"/>
      <c r="M49" s="75"/>
      <c r="N49" s="75"/>
      <c r="O49" s="75"/>
      <c r="P49" s="75"/>
      <c r="Q49" s="75"/>
      <c r="R49" s="75"/>
      <c r="S49" s="75"/>
      <c r="T49" s="76"/>
      <c r="U49" s="2"/>
      <c r="V49" s="3"/>
      <c r="W49" s="3"/>
      <c r="X49" s="3"/>
      <c r="Y49" s="3"/>
      <c r="Z49" s="3"/>
    </row>
    <row r="50" spans="1:26" x14ac:dyDescent="0.25">
      <c r="A50" s="56"/>
      <c r="B50" s="70" t="s">
        <v>79</v>
      </c>
      <c r="C50" s="70"/>
      <c r="D50" s="70"/>
      <c r="E50" s="46">
        <f>SUM(E38:E49)</f>
        <v>33155645</v>
      </c>
      <c r="F50" s="46">
        <f>SUM(F38:F49)</f>
        <v>34077388.759999998</v>
      </c>
      <c r="G50" s="46">
        <f t="shared" ref="G50:S50" si="30">SUM(G38:G49)</f>
        <v>35031393.551599994</v>
      </c>
      <c r="H50" s="46">
        <f t="shared" si="30"/>
        <v>36018788.510905989</v>
      </c>
      <c r="I50" s="46">
        <f t="shared" si="30"/>
        <v>37040742.293787695</v>
      </c>
      <c r="J50" s="46">
        <f t="shared" si="30"/>
        <v>38098464.459070265</v>
      </c>
      <c r="K50" s="46">
        <f t="shared" si="30"/>
        <v>39193206.900137722</v>
      </c>
      <c r="L50" s="46">
        <f t="shared" si="30"/>
        <v>40326265.326642543</v>
      </c>
      <c r="M50" s="46">
        <f t="shared" si="30"/>
        <v>41498980.798075028</v>
      </c>
      <c r="N50" s="46">
        <f t="shared" si="30"/>
        <v>42712741.311007649</v>
      </c>
      <c r="O50" s="46">
        <f t="shared" si="30"/>
        <v>43968983.441892914</v>
      </c>
      <c r="P50" s="46">
        <f t="shared" si="30"/>
        <v>45269194.047359161</v>
      </c>
      <c r="Q50" s="46">
        <f t="shared" si="30"/>
        <v>46614912.024016723</v>
      </c>
      <c r="R50" s="46">
        <f t="shared" si="30"/>
        <v>48007730.129857302</v>
      </c>
      <c r="S50" s="46">
        <f t="shared" si="30"/>
        <v>49449296.869402304</v>
      </c>
      <c r="T50" s="46"/>
      <c r="U50" s="2"/>
      <c r="V50" s="3"/>
      <c r="W50" s="3"/>
      <c r="X50" s="3"/>
      <c r="Y50" s="3"/>
      <c r="Z50" s="3"/>
    </row>
    <row r="51" spans="1:26" x14ac:dyDescent="0.25">
      <c r="A51" s="2"/>
      <c r="B51" s="48"/>
      <c r="C51" s="1"/>
      <c r="D51" s="1"/>
      <c r="E51" s="11"/>
      <c r="F51" s="1"/>
      <c r="G51" s="1"/>
      <c r="H51" s="1"/>
      <c r="I51" s="1"/>
      <c r="J51" s="1"/>
      <c r="K51" s="1"/>
      <c r="L51" s="1"/>
      <c r="M51" s="1"/>
      <c r="N51" s="1"/>
      <c r="O51" s="1"/>
      <c r="P51" s="1"/>
      <c r="Q51" s="1"/>
      <c r="R51" s="1"/>
      <c r="S51" s="1"/>
      <c r="T51" s="1"/>
      <c r="U51" s="2"/>
      <c r="V51" s="2"/>
      <c r="W51" s="3"/>
      <c r="X51" s="3"/>
      <c r="Y51" s="3"/>
      <c r="Z51" s="3"/>
    </row>
    <row r="52" spans="1:26" x14ac:dyDescent="0.25">
      <c r="A52" s="2"/>
      <c r="B52" s="2"/>
      <c r="C52" s="81"/>
      <c r="D52" s="2"/>
      <c r="E52" s="2"/>
      <c r="F52" s="2"/>
      <c r="G52" s="2"/>
      <c r="H52" s="2"/>
      <c r="I52" s="2"/>
      <c r="J52" s="2"/>
      <c r="K52" s="2"/>
      <c r="L52" s="2"/>
      <c r="M52" s="2"/>
      <c r="N52" s="2"/>
      <c r="O52" s="2"/>
      <c r="P52" s="2"/>
      <c r="Q52" s="2"/>
      <c r="R52" s="2"/>
      <c r="S52" s="2"/>
      <c r="T52" s="2"/>
      <c r="U52" s="2"/>
      <c r="V52" s="2"/>
      <c r="W52" s="3"/>
      <c r="X52" s="3"/>
      <c r="Y52" s="3"/>
      <c r="Z52" s="3"/>
    </row>
    <row r="53" spans="1:26" x14ac:dyDescent="0.25">
      <c r="A53" s="2"/>
      <c r="B53" s="2"/>
      <c r="C53" s="81"/>
      <c r="D53" s="2"/>
      <c r="E53" s="2"/>
      <c r="F53" s="2"/>
      <c r="G53" s="2"/>
      <c r="H53" s="2"/>
      <c r="I53" s="2"/>
      <c r="J53" s="2"/>
      <c r="K53" s="2"/>
      <c r="L53" s="2"/>
      <c r="M53" s="2"/>
      <c r="N53" s="2"/>
      <c r="O53" s="2"/>
      <c r="P53" s="2"/>
      <c r="Q53" s="2"/>
      <c r="R53" s="2"/>
      <c r="S53" s="2"/>
      <c r="T53" s="2"/>
      <c r="U53" s="2"/>
      <c r="V53" s="2"/>
      <c r="W53" s="3"/>
      <c r="X53" s="3"/>
      <c r="Y53" s="3"/>
      <c r="Z53" s="3"/>
    </row>
    <row r="54" spans="1:26" ht="15.75" x14ac:dyDescent="0.25">
      <c r="A54" s="178" t="s">
        <v>80</v>
      </c>
      <c r="B54" s="179"/>
      <c r="C54" s="179"/>
      <c r="D54" s="179"/>
      <c r="E54" s="179"/>
      <c r="F54" s="179"/>
      <c r="G54" s="179"/>
      <c r="H54" s="180"/>
      <c r="I54" s="2"/>
      <c r="J54" s="2"/>
      <c r="K54" s="2"/>
      <c r="L54" s="2"/>
      <c r="M54" s="2"/>
      <c r="N54" s="2"/>
      <c r="O54" s="2"/>
      <c r="P54" s="2"/>
      <c r="Q54" s="2"/>
      <c r="R54" s="2"/>
      <c r="S54" s="2"/>
      <c r="T54" s="2"/>
      <c r="U54" s="2"/>
      <c r="V54" s="2"/>
      <c r="W54" s="3"/>
      <c r="X54" s="3"/>
      <c r="Y54" s="3"/>
      <c r="Z54" s="3"/>
    </row>
    <row r="55" spans="1:26" x14ac:dyDescent="0.25">
      <c r="A55" s="56" t="s">
        <v>11</v>
      </c>
      <c r="B55" s="82" t="s">
        <v>81</v>
      </c>
      <c r="C55" s="83" t="s">
        <v>82</v>
      </c>
      <c r="D55" s="84" t="s">
        <v>31</v>
      </c>
      <c r="E55" s="84" t="s">
        <v>32</v>
      </c>
      <c r="F55" s="84" t="s">
        <v>33</v>
      </c>
      <c r="G55" s="84" t="s">
        <v>34</v>
      </c>
      <c r="H55" s="84" t="s">
        <v>35</v>
      </c>
      <c r="I55" s="84" t="s">
        <v>36</v>
      </c>
      <c r="J55" s="84" t="s">
        <v>37</v>
      </c>
      <c r="K55" s="84" t="s">
        <v>38</v>
      </c>
      <c r="L55" s="84" t="s">
        <v>96</v>
      </c>
      <c r="M55" s="84" t="s">
        <v>97</v>
      </c>
      <c r="N55" s="84" t="s">
        <v>98</v>
      </c>
      <c r="O55" s="84" t="s">
        <v>99</v>
      </c>
      <c r="P55" s="84" t="s">
        <v>100</v>
      </c>
      <c r="Q55" s="84" t="s">
        <v>101</v>
      </c>
      <c r="R55" s="84" t="s">
        <v>102</v>
      </c>
      <c r="S55" s="85"/>
      <c r="T55" s="85"/>
      <c r="U55" s="2"/>
      <c r="V55" s="2"/>
      <c r="W55" s="3"/>
      <c r="X55" s="3"/>
      <c r="Y55" s="3"/>
      <c r="Z55" s="3"/>
    </row>
    <row r="56" spans="1:26" x14ac:dyDescent="0.25">
      <c r="A56" s="59">
        <v>1</v>
      </c>
      <c r="B56" s="86" t="s">
        <v>83</v>
      </c>
      <c r="C56" s="87"/>
      <c r="D56" s="87">
        <f>E32</f>
        <v>121215276</v>
      </c>
      <c r="E56" s="87">
        <f>F32</f>
        <v>125457810.66</v>
      </c>
      <c r="F56" s="87">
        <f>G32</f>
        <v>129848834.03309999</v>
      </c>
      <c r="G56" s="87">
        <f>H32</f>
        <v>134393543.22425848</v>
      </c>
      <c r="H56" s="87">
        <f>I32</f>
        <v>126351329.98310754</v>
      </c>
      <c r="I56" s="87">
        <f t="shared" ref="I56:R56" si="31">J32</f>
        <v>127749626.5325163</v>
      </c>
      <c r="J56" s="87">
        <f t="shared" si="31"/>
        <v>129196863.46115436</v>
      </c>
      <c r="K56" s="87">
        <f t="shared" si="31"/>
        <v>130694753.68229476</v>
      </c>
      <c r="L56" s="87">
        <f t="shared" si="31"/>
        <v>132245070.06117508</v>
      </c>
      <c r="M56" s="87">
        <f t="shared" si="31"/>
        <v>133849647.51331618</v>
      </c>
      <c r="N56" s="87">
        <f t="shared" si="31"/>
        <v>135510385.17628226</v>
      </c>
      <c r="O56" s="87">
        <f t="shared" si="31"/>
        <v>137229248.65745214</v>
      </c>
      <c r="P56" s="87">
        <f t="shared" si="31"/>
        <v>139008272.36046296</v>
      </c>
      <c r="Q56" s="87">
        <f t="shared" si="31"/>
        <v>140849561.89307916</v>
      </c>
      <c r="R56" s="87">
        <f t="shared" si="31"/>
        <v>142755296.5593369</v>
      </c>
      <c r="S56" s="88"/>
      <c r="T56" s="88"/>
      <c r="U56" s="2"/>
      <c r="V56" s="2"/>
      <c r="W56" s="3"/>
      <c r="X56" s="3"/>
      <c r="Y56" s="3"/>
      <c r="Z56" s="3"/>
    </row>
    <row r="57" spans="1:26" x14ac:dyDescent="0.25">
      <c r="A57" s="59">
        <v>2</v>
      </c>
      <c r="B57" s="86" t="s">
        <v>84</v>
      </c>
      <c r="C57" s="89"/>
      <c r="D57" s="87">
        <f>E50</f>
        <v>33155645</v>
      </c>
      <c r="E57" s="87">
        <f>F50</f>
        <v>34077388.759999998</v>
      </c>
      <c r="F57" s="87">
        <f>G50</f>
        <v>35031393.551599994</v>
      </c>
      <c r="G57" s="87">
        <f>H50</f>
        <v>36018788.510905989</v>
      </c>
      <c r="H57" s="87">
        <f>I50</f>
        <v>37040742.293787695</v>
      </c>
      <c r="I57" s="87">
        <f t="shared" ref="I57:R57" si="32">J50</f>
        <v>38098464.459070265</v>
      </c>
      <c r="J57" s="87">
        <f t="shared" si="32"/>
        <v>39193206.900137722</v>
      </c>
      <c r="K57" s="87">
        <f t="shared" si="32"/>
        <v>40326265.326642543</v>
      </c>
      <c r="L57" s="87">
        <f t="shared" si="32"/>
        <v>41498980.798075028</v>
      </c>
      <c r="M57" s="87">
        <f t="shared" si="32"/>
        <v>42712741.311007649</v>
      </c>
      <c r="N57" s="87">
        <f t="shared" si="32"/>
        <v>43968983.441892914</v>
      </c>
      <c r="O57" s="87">
        <f t="shared" si="32"/>
        <v>45269194.047359161</v>
      </c>
      <c r="P57" s="87">
        <f t="shared" si="32"/>
        <v>46614912.024016723</v>
      </c>
      <c r="Q57" s="87">
        <f t="shared" si="32"/>
        <v>48007730.129857302</v>
      </c>
      <c r="R57" s="87">
        <f t="shared" si="32"/>
        <v>49449296.869402304</v>
      </c>
      <c r="S57" s="88"/>
      <c r="T57" s="88"/>
      <c r="U57" s="2"/>
      <c r="V57" s="2"/>
      <c r="W57" s="3"/>
      <c r="X57" s="3"/>
      <c r="Y57" s="3"/>
      <c r="Z57" s="3"/>
    </row>
    <row r="58" spans="1:26" x14ac:dyDescent="0.25">
      <c r="A58" s="59">
        <v>3</v>
      </c>
      <c r="B58" s="86" t="s">
        <v>85</v>
      </c>
      <c r="C58" s="89">
        <f>C22</f>
        <v>765000480</v>
      </c>
      <c r="D58" s="87"/>
      <c r="E58" s="87"/>
      <c r="F58" s="87"/>
      <c r="G58" s="87"/>
      <c r="H58" s="87"/>
      <c r="I58" s="88"/>
      <c r="J58" s="88"/>
      <c r="K58" s="88"/>
      <c r="L58" s="88"/>
      <c r="M58" s="88"/>
      <c r="N58" s="88"/>
      <c r="O58" s="88"/>
      <c r="P58" s="88"/>
      <c r="Q58" s="88"/>
      <c r="R58" s="88"/>
      <c r="S58" s="88"/>
      <c r="T58" s="88"/>
      <c r="U58" s="2"/>
      <c r="V58" s="2"/>
      <c r="W58" s="3"/>
      <c r="X58" s="3"/>
      <c r="Y58" s="3"/>
      <c r="Z58" s="3"/>
    </row>
    <row r="59" spans="1:26" x14ac:dyDescent="0.25">
      <c r="A59" s="59"/>
      <c r="B59" s="86" t="s">
        <v>134</v>
      </c>
      <c r="C59" s="89">
        <f>SUM(D43:D46)/2</f>
        <v>5520456</v>
      </c>
      <c r="D59" s="87"/>
      <c r="E59" s="87"/>
      <c r="F59" s="87"/>
      <c r="G59" s="87"/>
      <c r="H59" s="87"/>
      <c r="I59" s="88"/>
      <c r="J59" s="88"/>
      <c r="K59" s="88"/>
      <c r="L59" s="88"/>
      <c r="M59" s="88"/>
      <c r="N59" s="88"/>
      <c r="O59" s="88"/>
      <c r="P59" s="88"/>
      <c r="Q59" s="88"/>
      <c r="R59" s="88"/>
      <c r="S59" s="88"/>
      <c r="T59" s="88"/>
      <c r="U59" s="2"/>
      <c r="V59" s="2"/>
      <c r="W59" s="3"/>
      <c r="X59" s="3"/>
      <c r="Y59" s="3"/>
      <c r="Z59" s="3"/>
    </row>
    <row r="60" spans="1:26" x14ac:dyDescent="0.25">
      <c r="A60" s="59">
        <v>4</v>
      </c>
      <c r="B60" s="86" t="s">
        <v>87</v>
      </c>
      <c r="C60" s="89"/>
      <c r="D60" s="87"/>
      <c r="E60" s="87"/>
      <c r="F60" s="87"/>
      <c r="G60" s="87"/>
      <c r="H60" s="87"/>
      <c r="I60" s="88"/>
      <c r="J60" s="88"/>
      <c r="K60" s="88"/>
      <c r="L60" s="88"/>
      <c r="M60" s="88"/>
      <c r="N60" s="88"/>
      <c r="O60" s="88"/>
      <c r="P60" s="88"/>
      <c r="Q60" s="88"/>
      <c r="R60" s="88">
        <f>G21</f>
        <v>287886604.69480002</v>
      </c>
      <c r="S60" s="88"/>
      <c r="T60" s="88"/>
      <c r="U60" s="2"/>
      <c r="V60" s="2"/>
      <c r="W60" s="3"/>
      <c r="X60" s="3"/>
      <c r="Y60" s="3"/>
      <c r="Z60" s="3"/>
    </row>
    <row r="61" spans="1:26" x14ac:dyDescent="0.25">
      <c r="A61" s="59"/>
      <c r="B61" s="86" t="s">
        <v>135</v>
      </c>
      <c r="C61" s="89"/>
      <c r="D61" s="87"/>
      <c r="E61" s="87"/>
      <c r="F61" s="87"/>
      <c r="G61" s="87"/>
      <c r="H61" s="87"/>
      <c r="I61" s="88"/>
      <c r="J61" s="88"/>
      <c r="K61" s="88"/>
      <c r="L61" s="88"/>
      <c r="M61" s="88"/>
      <c r="N61" s="88"/>
      <c r="O61" s="88"/>
      <c r="P61" s="88"/>
      <c r="Q61" s="88"/>
      <c r="R61" s="88">
        <f>C59</f>
        <v>5520456</v>
      </c>
      <c r="S61" s="88"/>
      <c r="T61" s="88"/>
      <c r="U61" s="2"/>
      <c r="V61" s="2"/>
      <c r="W61" s="3"/>
      <c r="X61" s="3"/>
      <c r="Y61" s="3"/>
      <c r="Z61" s="3"/>
    </row>
    <row r="62" spans="1:26" x14ac:dyDescent="0.25">
      <c r="A62" s="59"/>
      <c r="B62" s="86" t="s">
        <v>89</v>
      </c>
      <c r="C62" s="89">
        <f>-SUM(C58)</f>
        <v>-765000480</v>
      </c>
      <c r="D62" s="87">
        <f>SUM(D56-D57-D58+D59+D60+D61)</f>
        <v>88059631</v>
      </c>
      <c r="E62" s="87">
        <f t="shared" ref="E62:R62" si="33">SUM(E56-E57-E58+E59+E60+E61)</f>
        <v>91380421.900000006</v>
      </c>
      <c r="F62" s="87">
        <f t="shared" si="33"/>
        <v>94817440.4815</v>
      </c>
      <c r="G62" s="87">
        <f t="shared" si="33"/>
        <v>98374754.713352501</v>
      </c>
      <c r="H62" s="87">
        <f t="shared" si="33"/>
        <v>89310587.689319849</v>
      </c>
      <c r="I62" s="87">
        <f t="shared" si="33"/>
        <v>89651162.073446035</v>
      </c>
      <c r="J62" s="87">
        <f t="shared" si="33"/>
        <v>90003656.561016634</v>
      </c>
      <c r="K62" s="87">
        <f t="shared" si="33"/>
        <v>90368488.355652213</v>
      </c>
      <c r="L62" s="87">
        <f t="shared" si="33"/>
        <v>90746089.263100058</v>
      </c>
      <c r="M62" s="87">
        <f t="shared" si="33"/>
        <v>91136906.202308536</v>
      </c>
      <c r="N62" s="87">
        <f t="shared" si="33"/>
        <v>91541401.734389335</v>
      </c>
      <c r="O62" s="87">
        <f t="shared" si="33"/>
        <v>91960054.610092968</v>
      </c>
      <c r="P62" s="87">
        <f t="shared" si="33"/>
        <v>92393360.336446241</v>
      </c>
      <c r="Q62" s="87">
        <f t="shared" si="33"/>
        <v>92841831.76322186</v>
      </c>
      <c r="R62" s="87">
        <f t="shared" si="33"/>
        <v>386713060.38473463</v>
      </c>
      <c r="S62" s="88"/>
      <c r="T62" s="88"/>
      <c r="U62" s="2"/>
      <c r="V62" s="2"/>
      <c r="W62" s="3"/>
      <c r="X62" s="3"/>
      <c r="Y62" s="3"/>
      <c r="Z62" s="3"/>
    </row>
    <row r="63" spans="1:26" x14ac:dyDescent="0.25">
      <c r="A63" s="2"/>
      <c r="B63" s="181"/>
      <c r="C63" s="181"/>
      <c r="D63" s="181"/>
      <c r="E63" s="181"/>
      <c r="F63" s="181"/>
      <c r="G63" s="181"/>
      <c r="H63" s="181"/>
      <c r="I63" s="68"/>
      <c r="J63" s="68"/>
      <c r="K63" s="68"/>
      <c r="L63" s="68"/>
      <c r="M63" s="68"/>
      <c r="N63" s="68"/>
      <c r="O63" s="68"/>
      <c r="P63" s="68"/>
      <c r="Q63" s="68"/>
      <c r="R63" s="68"/>
      <c r="S63" s="68"/>
      <c r="T63" s="68"/>
      <c r="U63" s="2"/>
      <c r="V63" s="2"/>
      <c r="W63" s="3"/>
      <c r="X63" s="3"/>
      <c r="Y63" s="3"/>
      <c r="Z63" s="3"/>
    </row>
    <row r="64" spans="1:26" x14ac:dyDescent="0.25">
      <c r="A64" s="2"/>
      <c r="B64" s="2"/>
      <c r="C64" s="2"/>
      <c r="D64" s="2"/>
      <c r="E64" s="2"/>
      <c r="F64" s="2"/>
      <c r="G64" s="2"/>
      <c r="H64" s="2"/>
      <c r="I64" s="68"/>
      <c r="J64" s="68"/>
      <c r="K64" s="68"/>
      <c r="L64" s="68"/>
      <c r="M64" s="68"/>
      <c r="N64" s="68"/>
      <c r="O64" s="68"/>
      <c r="P64" s="68"/>
      <c r="Q64" s="68"/>
      <c r="R64" s="68"/>
      <c r="S64" s="68"/>
      <c r="T64" s="68"/>
      <c r="U64" s="2"/>
      <c r="V64" s="2"/>
      <c r="W64" s="3"/>
      <c r="X64" s="3"/>
      <c r="Y64" s="3"/>
      <c r="Z64" s="3"/>
    </row>
    <row r="65" spans="1:26" x14ac:dyDescent="0.25">
      <c r="A65" s="2"/>
      <c r="B65" s="2"/>
      <c r="C65" s="2"/>
      <c r="D65" s="2"/>
      <c r="E65" s="2"/>
      <c r="F65" s="2"/>
      <c r="G65" s="2"/>
      <c r="H65" s="2"/>
      <c r="I65" s="68"/>
      <c r="J65" s="68"/>
      <c r="K65" s="68"/>
      <c r="L65" s="68"/>
      <c r="M65" s="68"/>
      <c r="N65" s="68"/>
      <c r="O65" s="68"/>
      <c r="P65" s="68"/>
      <c r="Q65" s="68"/>
      <c r="R65" s="68"/>
      <c r="S65" s="68"/>
      <c r="T65" s="68"/>
      <c r="U65" s="2"/>
      <c r="V65" s="2"/>
      <c r="W65" s="3"/>
      <c r="X65" s="3"/>
      <c r="Y65" s="3"/>
      <c r="Z65" s="3"/>
    </row>
    <row r="66" spans="1:26" ht="15.75" x14ac:dyDescent="0.25">
      <c r="A66" s="182" t="s">
        <v>90</v>
      </c>
      <c r="B66" s="183"/>
      <c r="C66" s="184"/>
      <c r="D66" s="2"/>
      <c r="E66" s="2"/>
      <c r="F66" s="2"/>
      <c r="G66" s="90"/>
      <c r="H66" s="2"/>
      <c r="I66" s="2"/>
      <c r="J66" s="2"/>
      <c r="K66" s="2"/>
      <c r="L66" s="2"/>
      <c r="M66" s="2"/>
      <c r="N66" s="2"/>
      <c r="O66" s="2"/>
      <c r="P66" s="2"/>
      <c r="Q66" s="2"/>
      <c r="R66" s="2"/>
      <c r="S66" s="2"/>
      <c r="T66" s="2"/>
      <c r="U66" s="2"/>
      <c r="V66" s="2"/>
      <c r="W66" s="3"/>
      <c r="X66" s="3"/>
      <c r="Y66" s="3"/>
      <c r="Z66" s="3"/>
    </row>
    <row r="67" spans="1:26" x14ac:dyDescent="0.25">
      <c r="A67" s="91" t="s">
        <v>11</v>
      </c>
      <c r="B67" s="92" t="s">
        <v>91</v>
      </c>
      <c r="C67" s="92" t="s">
        <v>92</v>
      </c>
      <c r="D67" s="2"/>
      <c r="E67" s="2"/>
      <c r="F67" s="2"/>
      <c r="G67" s="2"/>
      <c r="H67" s="2"/>
      <c r="I67" s="2"/>
      <c r="J67" s="2"/>
      <c r="K67" s="2"/>
      <c r="L67" s="2"/>
      <c r="M67" s="2"/>
      <c r="N67" s="2"/>
      <c r="O67" s="2"/>
      <c r="P67" s="2"/>
      <c r="Q67" s="2"/>
      <c r="R67" s="2"/>
      <c r="S67" s="2"/>
      <c r="T67" s="2"/>
      <c r="U67" s="85"/>
      <c r="V67" s="85"/>
      <c r="W67" s="3"/>
      <c r="X67" s="3"/>
      <c r="Y67" s="3"/>
      <c r="Z67" s="3"/>
    </row>
    <row r="68" spans="1:26" ht="25.5" x14ac:dyDescent="0.25">
      <c r="A68" s="93">
        <v>1</v>
      </c>
      <c r="B68" s="94" t="s">
        <v>93</v>
      </c>
      <c r="C68" s="104">
        <f>NPV(C72,D62:R62)+C62</f>
        <v>2203719.9022957087</v>
      </c>
      <c r="D68" s="3"/>
      <c r="E68" s="3"/>
      <c r="F68" s="3"/>
      <c r="G68" s="3"/>
      <c r="H68" s="3"/>
      <c r="I68" s="3"/>
      <c r="J68" s="3"/>
      <c r="K68" s="3"/>
      <c r="L68" s="3"/>
      <c r="M68" s="3"/>
      <c r="N68" s="3"/>
      <c r="O68" s="3"/>
      <c r="P68" s="3"/>
      <c r="Q68" s="3"/>
      <c r="R68" s="3"/>
      <c r="S68" s="3"/>
      <c r="T68" s="3"/>
      <c r="U68" s="88"/>
      <c r="V68" s="88"/>
      <c r="W68" s="3"/>
      <c r="X68" s="3"/>
      <c r="Y68" s="3"/>
      <c r="Z68" s="3"/>
    </row>
    <row r="69" spans="1:26" ht="25.5" x14ac:dyDescent="0.25">
      <c r="A69" s="93">
        <v>2</v>
      </c>
      <c r="B69" s="94" t="s">
        <v>212</v>
      </c>
      <c r="C69" s="95">
        <f>NPV(C72,D62:R62)</f>
        <v>767204199.90229571</v>
      </c>
      <c r="D69" s="3"/>
      <c r="E69" s="3"/>
      <c r="F69" s="3"/>
      <c r="G69" s="3"/>
      <c r="H69" s="3"/>
      <c r="I69" s="3"/>
      <c r="J69" s="3"/>
      <c r="K69" s="3"/>
      <c r="L69" s="3"/>
      <c r="M69" s="3"/>
      <c r="N69" s="3"/>
      <c r="O69" s="3"/>
      <c r="P69" s="3"/>
      <c r="Q69" s="3"/>
      <c r="R69" s="3"/>
      <c r="S69" s="3"/>
      <c r="T69" s="3"/>
      <c r="U69" s="88"/>
      <c r="V69" s="88"/>
      <c r="W69" s="3"/>
      <c r="X69" s="3"/>
      <c r="Y69" s="3"/>
      <c r="Z69" s="3"/>
    </row>
    <row r="70" spans="1:26" x14ac:dyDescent="0.25">
      <c r="A70" s="93">
        <v>3</v>
      </c>
      <c r="B70" s="96" t="s">
        <v>323</v>
      </c>
      <c r="C70" s="97">
        <f>IRR(C62:R62)</f>
        <v>0.10044692920116227</v>
      </c>
      <c r="D70" s="3"/>
      <c r="E70" s="3"/>
      <c r="F70" s="3"/>
      <c r="G70" s="3"/>
      <c r="H70" s="3"/>
      <c r="I70" s="3"/>
      <c r="J70" s="3"/>
      <c r="K70" s="3"/>
      <c r="L70" s="3"/>
      <c r="M70" s="3"/>
      <c r="N70" s="3"/>
      <c r="O70" s="3"/>
      <c r="P70" s="3"/>
      <c r="Q70" s="3"/>
      <c r="R70" s="3"/>
      <c r="S70" s="3"/>
      <c r="T70" s="3"/>
      <c r="U70" s="88"/>
      <c r="V70" s="88"/>
      <c r="W70" s="3"/>
      <c r="X70" s="3"/>
      <c r="Y70" s="3"/>
      <c r="Z70" s="3"/>
    </row>
    <row r="71" spans="1:26" x14ac:dyDescent="0.25">
      <c r="A71" s="2"/>
      <c r="B71" s="2"/>
      <c r="C71" s="2"/>
      <c r="D71" s="3"/>
      <c r="E71" s="3"/>
      <c r="F71" s="3"/>
      <c r="G71" s="3"/>
      <c r="H71" s="3"/>
      <c r="I71" s="3"/>
      <c r="J71" s="3"/>
      <c r="K71" s="3"/>
      <c r="L71" s="3"/>
      <c r="M71" s="3"/>
      <c r="N71" s="3"/>
      <c r="O71" s="3"/>
      <c r="P71" s="3"/>
      <c r="Q71" s="3"/>
      <c r="R71" s="3"/>
      <c r="S71" s="3"/>
      <c r="T71" s="3"/>
      <c r="U71" s="88"/>
      <c r="V71" s="88"/>
      <c r="W71" s="3"/>
      <c r="X71" s="3"/>
      <c r="Y71" s="3"/>
      <c r="Z71" s="3"/>
    </row>
    <row r="72" spans="1:26" x14ac:dyDescent="0.25">
      <c r="A72" s="2"/>
      <c r="B72" s="98" t="s">
        <v>94</v>
      </c>
      <c r="C72" s="99">
        <v>0.1</v>
      </c>
      <c r="D72" s="3"/>
      <c r="E72" s="3"/>
      <c r="F72" s="3"/>
      <c r="G72" s="3"/>
      <c r="H72" s="3"/>
      <c r="I72" s="3"/>
      <c r="J72" s="3"/>
      <c r="K72" s="3"/>
      <c r="L72" s="3"/>
      <c r="M72" s="3"/>
      <c r="N72" s="3"/>
      <c r="O72" s="3"/>
      <c r="P72" s="3"/>
      <c r="Q72" s="3"/>
      <c r="R72" s="3"/>
      <c r="S72" s="3"/>
      <c r="T72" s="3"/>
      <c r="U72" s="68"/>
      <c r="V72" s="68"/>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x14ac:dyDescent="0.2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x14ac:dyDescent="0.25">
      <c r="A76" s="44"/>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row>
  </sheetData>
  <mergeCells count="23">
    <mergeCell ref="B17:D17"/>
    <mergeCell ref="A1:H1"/>
    <mergeCell ref="A7:D7"/>
    <mergeCell ref="F7:G7"/>
    <mergeCell ref="B9:D9"/>
    <mergeCell ref="B14:D14"/>
    <mergeCell ref="A21:B21"/>
    <mergeCell ref="A26:A27"/>
    <mergeCell ref="B26:B27"/>
    <mergeCell ref="C26:C27"/>
    <mergeCell ref="D26:D27"/>
    <mergeCell ref="A54:H54"/>
    <mergeCell ref="B63:H63"/>
    <mergeCell ref="A66:C66"/>
    <mergeCell ref="B76:Z76"/>
    <mergeCell ref="A25:S25"/>
    <mergeCell ref="E27:S27"/>
    <mergeCell ref="B37:T37"/>
    <mergeCell ref="T28:Y28"/>
    <mergeCell ref="B32:D32"/>
    <mergeCell ref="A35:T35"/>
    <mergeCell ref="B42:I42"/>
    <mergeCell ref="B47:I4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O73"/>
  <sheetViews>
    <sheetView showGridLines="0" topLeftCell="A26" workbookViewId="0">
      <selection activeCell="B71" sqref="B71"/>
    </sheetView>
  </sheetViews>
  <sheetFormatPr baseColWidth="10" defaultRowHeight="15" x14ac:dyDescent="0.25"/>
  <cols>
    <col min="2" max="2" width="31.140625" customWidth="1"/>
    <col min="3" max="3" width="17.42578125" customWidth="1"/>
    <col min="4" max="4" width="40.85546875" customWidth="1"/>
    <col min="5" max="5" width="15" customWidth="1"/>
    <col min="6" max="6" width="14.28515625" customWidth="1"/>
    <col min="7" max="7" width="16.42578125" customWidth="1"/>
    <col min="8" max="8" width="15.85546875" customWidth="1"/>
    <col min="9" max="9" width="17.140625" customWidth="1"/>
    <col min="10" max="10" width="48.42578125" customWidth="1"/>
  </cols>
  <sheetData>
    <row r="1" spans="1:15" ht="21" x14ac:dyDescent="0.25">
      <c r="A1" s="175" t="s">
        <v>137</v>
      </c>
      <c r="B1" s="175"/>
      <c r="C1" s="175"/>
      <c r="D1" s="175"/>
      <c r="E1" s="175"/>
      <c r="F1" s="175"/>
      <c r="G1" s="175"/>
      <c r="H1" s="175"/>
      <c r="I1" s="1"/>
      <c r="J1" s="2"/>
      <c r="K1" s="2"/>
      <c r="L1" s="2"/>
      <c r="M1" s="3"/>
      <c r="N1" s="3"/>
      <c r="O1" s="3"/>
    </row>
    <row r="2" spans="1:15" ht="21" x14ac:dyDescent="0.25">
      <c r="A2" s="1"/>
      <c r="B2" s="4"/>
      <c r="C2" s="5" t="s">
        <v>1</v>
      </c>
      <c r="D2" s="1"/>
      <c r="E2" s="1"/>
      <c r="F2" s="3"/>
      <c r="G2" s="3"/>
      <c r="H2" s="1"/>
      <c r="I2" s="1"/>
      <c r="J2" s="2"/>
      <c r="K2" s="2"/>
      <c r="L2" s="2"/>
      <c r="M2" s="3"/>
      <c r="N2" s="3"/>
      <c r="O2" s="3"/>
    </row>
    <row r="3" spans="1:15" x14ac:dyDescent="0.25">
      <c r="A3" s="1"/>
      <c r="B3" s="5"/>
      <c r="C3" s="6"/>
      <c r="D3" s="5" t="s">
        <v>2</v>
      </c>
      <c r="E3" s="3"/>
      <c r="F3" s="7" t="s">
        <v>3</v>
      </c>
      <c r="G3" s="8">
        <v>3.5000000000000003E-2</v>
      </c>
      <c r="H3" s="3"/>
      <c r="I3" s="3"/>
      <c r="J3" s="2"/>
      <c r="K3" s="2"/>
      <c r="L3" s="2"/>
      <c r="M3" s="3"/>
      <c r="N3" s="3"/>
      <c r="O3" s="3"/>
    </row>
    <row r="4" spans="1:15" x14ac:dyDescent="0.25">
      <c r="A4" s="1"/>
      <c r="B4" s="5"/>
      <c r="C4" s="9"/>
      <c r="D4" s="5" t="s">
        <v>4</v>
      </c>
      <c r="E4" s="3"/>
      <c r="F4" s="1"/>
      <c r="G4" s="1"/>
      <c r="H4" s="3"/>
      <c r="I4" s="3"/>
      <c r="J4" s="2"/>
      <c r="K4" s="2"/>
      <c r="L4" s="2"/>
      <c r="M4" s="3"/>
      <c r="N4" s="3"/>
      <c r="O4" s="3"/>
    </row>
    <row r="5" spans="1:15" x14ac:dyDescent="0.25">
      <c r="A5" s="1"/>
      <c r="B5" s="5"/>
      <c r="C5" s="10"/>
      <c r="D5" s="5" t="s">
        <v>5</v>
      </c>
      <c r="E5" s="1"/>
      <c r="F5" s="3"/>
      <c r="G5" s="3"/>
      <c r="H5" s="1"/>
      <c r="I5" s="1"/>
      <c r="J5" s="2"/>
      <c r="K5" s="2"/>
      <c r="L5" s="2"/>
      <c r="M5" s="3"/>
      <c r="N5" s="3"/>
      <c r="O5" s="3"/>
    </row>
    <row r="6" spans="1:15" x14ac:dyDescent="0.25">
      <c r="A6" s="1"/>
      <c r="B6" s="5"/>
      <c r="C6" s="1"/>
      <c r="D6" s="1"/>
      <c r="E6" s="1"/>
      <c r="F6" s="11"/>
      <c r="G6" s="5"/>
      <c r="H6" s="1"/>
      <c r="I6" s="1"/>
      <c r="J6" s="2"/>
      <c r="K6" s="2"/>
      <c r="L6" s="2"/>
      <c r="M6" s="3"/>
      <c r="N6" s="3"/>
      <c r="O6" s="3"/>
    </row>
    <row r="7" spans="1:15" ht="15.75" x14ac:dyDescent="0.25">
      <c r="A7" s="182" t="s">
        <v>6</v>
      </c>
      <c r="B7" s="183"/>
      <c r="C7" s="183"/>
      <c r="D7" s="184"/>
      <c r="E7" s="1"/>
      <c r="F7" s="176"/>
      <c r="G7" s="176"/>
      <c r="H7" s="2"/>
      <c r="I7" s="3"/>
      <c r="J7" s="3"/>
      <c r="K7" s="3"/>
      <c r="L7" s="3"/>
      <c r="M7" s="3"/>
      <c r="N7" s="3"/>
      <c r="O7" s="3"/>
    </row>
    <row r="8" spans="1:15" ht="30" x14ac:dyDescent="0.25">
      <c r="A8" s="12" t="s">
        <v>7</v>
      </c>
      <c r="B8" s="13"/>
      <c r="C8" s="14" t="s">
        <v>8</v>
      </c>
      <c r="D8" s="15" t="s">
        <v>9</v>
      </c>
      <c r="E8" s="16"/>
      <c r="F8" s="105" t="s">
        <v>104</v>
      </c>
      <c r="G8" s="17" t="s">
        <v>10</v>
      </c>
      <c r="H8" s="16"/>
      <c r="I8" s="18"/>
      <c r="J8" s="18"/>
      <c r="K8" s="18"/>
      <c r="L8" s="18"/>
      <c r="M8" s="18"/>
      <c r="N8" s="18"/>
      <c r="O8" s="18"/>
    </row>
    <row r="9" spans="1:15" x14ac:dyDescent="0.25">
      <c r="A9" s="19" t="s">
        <v>11</v>
      </c>
      <c r="B9" s="172" t="s">
        <v>12</v>
      </c>
      <c r="C9" s="173"/>
      <c r="D9" s="174"/>
      <c r="E9" s="2"/>
      <c r="F9" s="20"/>
      <c r="G9" s="21" t="s">
        <v>13</v>
      </c>
      <c r="H9" s="2"/>
      <c r="I9" s="3"/>
      <c r="J9" s="3"/>
      <c r="K9" s="3"/>
      <c r="L9" s="3"/>
      <c r="M9" s="3"/>
      <c r="N9" s="3"/>
      <c r="O9" s="3"/>
    </row>
    <row r="10" spans="1:15" ht="38.25" x14ac:dyDescent="0.25">
      <c r="A10" s="22">
        <v>1</v>
      </c>
      <c r="B10" s="23" t="s">
        <v>14</v>
      </c>
      <c r="C10" s="24">
        <v>19040000</v>
      </c>
      <c r="D10" s="23" t="s">
        <v>138</v>
      </c>
      <c r="E10" s="2"/>
      <c r="F10" s="25">
        <v>0.1</v>
      </c>
      <c r="G10" s="26">
        <f>C10*(1-F10)^5</f>
        <v>11242929.600000003</v>
      </c>
      <c r="H10" s="2"/>
      <c r="I10" s="3"/>
      <c r="J10" s="3"/>
      <c r="K10" s="3"/>
      <c r="L10" s="3"/>
      <c r="M10" s="3"/>
      <c r="N10" s="3"/>
      <c r="O10" s="3"/>
    </row>
    <row r="11" spans="1:15" ht="51" x14ac:dyDescent="0.25">
      <c r="A11" s="27">
        <v>2</v>
      </c>
      <c r="B11" s="23" t="s">
        <v>15</v>
      </c>
      <c r="C11" s="24">
        <f>2500000*2+280000+6*1125000</f>
        <v>12030000</v>
      </c>
      <c r="D11" s="23" t="s">
        <v>162</v>
      </c>
      <c r="E11" s="2"/>
      <c r="F11" s="25">
        <v>0.05</v>
      </c>
      <c r="G11" s="26">
        <f>C11*(1-F11)^5</f>
        <v>9308584.6781249996</v>
      </c>
      <c r="H11" s="2"/>
      <c r="I11" s="3"/>
      <c r="J11" s="3"/>
      <c r="K11" s="3"/>
      <c r="L11" s="3"/>
      <c r="M11" s="3"/>
      <c r="N11" s="3"/>
      <c r="O11" s="3"/>
    </row>
    <row r="12" spans="1:15" ht="38.25" x14ac:dyDescent="0.25">
      <c r="A12" s="27">
        <v>3</v>
      </c>
      <c r="B12" s="23" t="s">
        <v>13</v>
      </c>
      <c r="C12" s="24">
        <v>1740000</v>
      </c>
      <c r="D12" s="23" t="s">
        <v>139</v>
      </c>
      <c r="E12" s="2"/>
      <c r="F12" s="25">
        <v>0.2</v>
      </c>
      <c r="G12" s="26">
        <f>C12*(1-F12)^5</f>
        <v>570163.2000000003</v>
      </c>
      <c r="H12" s="2"/>
      <c r="I12" s="3"/>
      <c r="J12" s="3"/>
      <c r="K12" s="3"/>
      <c r="L12" s="3"/>
      <c r="M12" s="3"/>
      <c r="N12" s="3"/>
      <c r="O12" s="3"/>
    </row>
    <row r="13" spans="1:15" ht="51" x14ac:dyDescent="0.25">
      <c r="A13" s="27">
        <v>4</v>
      </c>
      <c r="B13" s="23" t="s">
        <v>140</v>
      </c>
      <c r="C13" s="24">
        <f>7290000 +1560000</f>
        <v>8850000</v>
      </c>
      <c r="D13" s="23" t="s">
        <v>141</v>
      </c>
      <c r="E13" s="2"/>
      <c r="F13" s="25">
        <v>0.2</v>
      </c>
      <c r="G13" s="26">
        <f>C13*(1-F13)^5</f>
        <v>2899968.0000000019</v>
      </c>
      <c r="H13" s="2"/>
      <c r="I13" s="3"/>
      <c r="J13" s="3"/>
      <c r="K13" s="3"/>
      <c r="L13" s="3"/>
      <c r="M13" s="3"/>
      <c r="N13" s="3"/>
      <c r="O13" s="3"/>
    </row>
    <row r="14" spans="1:15" ht="38.25" x14ac:dyDescent="0.25">
      <c r="A14" s="27"/>
      <c r="B14" s="23" t="s">
        <v>161</v>
      </c>
      <c r="C14" s="24">
        <f>0.28*2500*140000</f>
        <v>98000000.000000015</v>
      </c>
      <c r="D14" s="23" t="s">
        <v>163</v>
      </c>
      <c r="E14" s="2"/>
      <c r="F14" s="25">
        <v>0.1</v>
      </c>
      <c r="G14" s="26">
        <f>C14*(1-F14)^5</f>
        <v>57868020.00000003</v>
      </c>
      <c r="H14" s="2"/>
      <c r="I14" s="3"/>
      <c r="J14" s="3"/>
      <c r="K14" s="3"/>
      <c r="L14" s="3"/>
      <c r="M14" s="3"/>
      <c r="N14" s="3"/>
      <c r="O14" s="3"/>
    </row>
    <row r="15" spans="1:15" x14ac:dyDescent="0.25">
      <c r="A15" s="29"/>
      <c r="B15" s="30"/>
      <c r="C15" s="31">
        <f>SUM(C10:C14)</f>
        <v>139660000</v>
      </c>
      <c r="D15" s="32"/>
      <c r="E15" s="2"/>
      <c r="F15" s="33"/>
      <c r="G15" s="34" t="s">
        <v>18</v>
      </c>
      <c r="H15" s="2"/>
      <c r="I15" s="3"/>
      <c r="J15" s="3"/>
      <c r="K15" s="3"/>
      <c r="L15" s="3"/>
      <c r="M15" s="3"/>
      <c r="N15" s="3"/>
      <c r="O15" s="3"/>
    </row>
    <row r="16" spans="1:15" x14ac:dyDescent="0.25">
      <c r="A16" s="19" t="s">
        <v>11</v>
      </c>
      <c r="B16" s="177" t="s">
        <v>19</v>
      </c>
      <c r="C16" s="177"/>
      <c r="D16" s="177"/>
      <c r="E16" s="2"/>
      <c r="F16" s="20"/>
      <c r="G16" s="35"/>
      <c r="H16" s="2"/>
      <c r="I16" s="3"/>
      <c r="J16" s="3"/>
      <c r="K16" s="3"/>
      <c r="L16" s="3"/>
      <c r="M16" s="3"/>
      <c r="N16" s="3"/>
      <c r="O16" s="3"/>
    </row>
    <row r="17" spans="1:15" x14ac:dyDescent="0.25">
      <c r="A17" s="22">
        <v>1</v>
      </c>
      <c r="B17" s="23" t="s">
        <v>20</v>
      </c>
      <c r="C17" s="24">
        <v>2000000</v>
      </c>
      <c r="D17" s="23" t="s">
        <v>142</v>
      </c>
      <c r="E17" s="2"/>
      <c r="F17" s="33"/>
      <c r="G17" s="34" t="s">
        <v>18</v>
      </c>
      <c r="H17" s="2"/>
      <c r="I17" s="3"/>
      <c r="J17" s="3"/>
      <c r="K17" s="3"/>
      <c r="L17" s="3"/>
      <c r="M17" s="3"/>
      <c r="N17" s="3"/>
      <c r="O17" s="3"/>
    </row>
    <row r="18" spans="1:15" x14ac:dyDescent="0.25">
      <c r="A18" s="22">
        <v>2</v>
      </c>
      <c r="B18" s="36"/>
      <c r="C18" s="37">
        <f>SUM(C17)</f>
        <v>2000000</v>
      </c>
      <c r="D18" s="38"/>
      <c r="E18" s="39"/>
      <c r="F18" s="33"/>
      <c r="G18" s="34" t="s">
        <v>18</v>
      </c>
      <c r="H18" s="2"/>
      <c r="I18" s="3"/>
      <c r="J18" s="3"/>
      <c r="K18" s="3"/>
      <c r="L18" s="3"/>
      <c r="M18" s="3"/>
      <c r="N18" s="3"/>
      <c r="O18" s="3"/>
    </row>
    <row r="19" spans="1:15" x14ac:dyDescent="0.25">
      <c r="A19" s="19" t="s">
        <v>11</v>
      </c>
      <c r="B19" s="172" t="s">
        <v>22</v>
      </c>
      <c r="C19" s="173"/>
      <c r="D19" s="174"/>
      <c r="E19" s="2"/>
      <c r="F19" s="20"/>
      <c r="G19" s="35"/>
      <c r="H19" s="2"/>
      <c r="I19" s="3"/>
      <c r="J19" s="3"/>
      <c r="K19" s="3"/>
      <c r="L19" s="3"/>
      <c r="M19" s="3"/>
      <c r="N19" s="3"/>
      <c r="O19" s="3"/>
    </row>
    <row r="20" spans="1:15" ht="25.5" x14ac:dyDescent="0.25">
      <c r="A20" s="22">
        <v>1</v>
      </c>
      <c r="B20" s="23" t="s">
        <v>23</v>
      </c>
      <c r="C20" s="24">
        <v>2500000</v>
      </c>
      <c r="D20" s="40" t="s">
        <v>143</v>
      </c>
      <c r="E20" s="2"/>
      <c r="F20" s="33"/>
      <c r="G20" s="34" t="s">
        <v>18</v>
      </c>
      <c r="H20" s="2"/>
      <c r="I20" s="3"/>
      <c r="J20" s="3"/>
      <c r="K20" s="3"/>
      <c r="L20" s="3"/>
      <c r="M20" s="3"/>
      <c r="N20" s="3"/>
      <c r="O20" s="3"/>
    </row>
    <row r="21" spans="1:15" ht="51" x14ac:dyDescent="0.25">
      <c r="A21" s="22">
        <v>2</v>
      </c>
      <c r="B21" s="23" t="s">
        <v>115</v>
      </c>
      <c r="C21" s="24">
        <f>3000000+10000000</f>
        <v>13000000</v>
      </c>
      <c r="D21" s="40" t="s">
        <v>144</v>
      </c>
      <c r="E21" s="11"/>
      <c r="F21" s="33"/>
      <c r="G21" s="34" t="s">
        <v>18</v>
      </c>
      <c r="H21" s="2"/>
      <c r="I21" s="3"/>
      <c r="J21" s="3"/>
      <c r="K21" s="3"/>
      <c r="L21" s="3"/>
      <c r="M21" s="3"/>
      <c r="N21" s="3"/>
      <c r="O21" s="3"/>
    </row>
    <row r="22" spans="1:15" x14ac:dyDescent="0.25">
      <c r="A22" s="165"/>
      <c r="B22" s="166"/>
      <c r="C22" s="41">
        <f>SUM(C20:C21)</f>
        <v>15500000</v>
      </c>
      <c r="D22" s="3"/>
      <c r="E22" s="11"/>
      <c r="F22" s="33"/>
      <c r="G22" s="43">
        <f>SUM(G10:G21)</f>
        <v>81889665.478125036</v>
      </c>
      <c r="H22" s="3"/>
      <c r="I22" s="2"/>
      <c r="J22" s="3"/>
      <c r="K22" s="3"/>
      <c r="L22" s="3"/>
      <c r="M22" s="3"/>
      <c r="N22" s="3"/>
      <c r="O22" s="3"/>
    </row>
    <row r="23" spans="1:15" x14ac:dyDescent="0.25">
      <c r="A23" s="44"/>
      <c r="B23" s="45" t="s">
        <v>26</v>
      </c>
      <c r="C23" s="46">
        <f>SUM(C15+C18+C22)</f>
        <v>157160000</v>
      </c>
      <c r="D23" s="3"/>
      <c r="E23" s="11"/>
      <c r="F23" s="3"/>
      <c r="G23" s="2"/>
      <c r="H23" s="2"/>
      <c r="I23" s="2"/>
      <c r="J23" s="2"/>
      <c r="K23" s="2"/>
      <c r="L23" s="3"/>
      <c r="M23" s="3"/>
      <c r="N23" s="3"/>
      <c r="O23" s="3"/>
    </row>
    <row r="24" spans="1:15" x14ac:dyDescent="0.25">
      <c r="A24" s="47"/>
      <c r="B24" s="48"/>
      <c r="C24" s="42"/>
      <c r="D24" s="49"/>
      <c r="E24" s="11"/>
      <c r="F24" s="50"/>
      <c r="G24" s="51"/>
      <c r="H24" s="52"/>
      <c r="I24" s="2"/>
      <c r="J24" s="2"/>
      <c r="K24" s="2"/>
      <c r="L24" s="2"/>
      <c r="M24" s="3"/>
      <c r="N24" s="3"/>
      <c r="O24" s="3"/>
    </row>
    <row r="25" spans="1:15" x14ac:dyDescent="0.25">
      <c r="A25" s="1"/>
      <c r="B25" s="48"/>
      <c r="C25" s="1"/>
      <c r="D25" s="1"/>
      <c r="E25" s="1"/>
      <c r="F25" s="1"/>
      <c r="G25" s="1"/>
      <c r="H25" s="2"/>
      <c r="I25" s="1"/>
      <c r="J25" s="2"/>
      <c r="K25" s="2"/>
      <c r="L25" s="2"/>
      <c r="M25" s="3"/>
      <c r="N25" s="3"/>
      <c r="O25" s="3"/>
    </row>
    <row r="26" spans="1:15" ht="15.75" x14ac:dyDescent="0.25">
      <c r="A26" s="182" t="s">
        <v>27</v>
      </c>
      <c r="B26" s="183"/>
      <c r="C26" s="183"/>
      <c r="D26" s="183"/>
      <c r="E26" s="183"/>
      <c r="F26" s="183"/>
      <c r="G26" s="183"/>
      <c r="H26" s="183"/>
      <c r="I26" s="184"/>
      <c r="J26" s="54"/>
      <c r="K26" s="54"/>
      <c r="L26" s="54"/>
      <c r="M26" s="54"/>
      <c r="N26" s="54"/>
      <c r="O26" s="3"/>
    </row>
    <row r="27" spans="1:15" x14ac:dyDescent="0.25">
      <c r="A27" s="167" t="s">
        <v>11</v>
      </c>
      <c r="B27" s="167" t="s">
        <v>28</v>
      </c>
      <c r="C27" s="167" t="s">
        <v>29</v>
      </c>
      <c r="D27" s="167" t="s">
        <v>145</v>
      </c>
      <c r="E27" s="55" t="s">
        <v>31</v>
      </c>
      <c r="F27" s="56" t="s">
        <v>32</v>
      </c>
      <c r="G27" s="56" t="s">
        <v>33</v>
      </c>
      <c r="H27" s="56" t="s">
        <v>34</v>
      </c>
      <c r="I27" s="56" t="s">
        <v>35</v>
      </c>
      <c r="J27" s="11"/>
      <c r="K27" s="3"/>
      <c r="L27" s="3"/>
      <c r="M27" s="2"/>
      <c r="N27" s="2"/>
      <c r="O27" s="3"/>
    </row>
    <row r="28" spans="1:15" x14ac:dyDescent="0.25">
      <c r="A28" s="168"/>
      <c r="B28" s="168"/>
      <c r="C28" s="168"/>
      <c r="D28" s="168"/>
      <c r="E28" s="169" t="s">
        <v>39</v>
      </c>
      <c r="F28" s="170"/>
      <c r="G28" s="170"/>
      <c r="H28" s="170"/>
      <c r="I28" s="171"/>
      <c r="J28" s="58"/>
      <c r="K28" s="2"/>
      <c r="L28" s="2"/>
      <c r="M28" s="3"/>
      <c r="N28" s="3"/>
      <c r="O28" s="3"/>
    </row>
    <row r="29" spans="1:15" x14ac:dyDescent="0.25">
      <c r="A29" s="59">
        <v>1</v>
      </c>
      <c r="B29" s="60" t="s">
        <v>146</v>
      </c>
      <c r="C29" s="10">
        <f>367200/2</f>
        <v>183600</v>
      </c>
      <c r="D29" s="62">
        <f>500</f>
        <v>500</v>
      </c>
      <c r="E29" s="62">
        <f>C29*D29*1.2</f>
        <v>110160000</v>
      </c>
      <c r="F29" s="63">
        <f>($D29*(1+$G$3))*$C29*1.4</f>
        <v>133018199.99999999</v>
      </c>
      <c r="G29" s="63">
        <f>($D$29*(1+$G$3)^2)*$C$29*1.6</f>
        <v>157341527.99999997</v>
      </c>
      <c r="H29" s="63">
        <f>($D$29*(1+$G$3)^3)*$C$29*1.8</f>
        <v>183204541.66499996</v>
      </c>
      <c r="I29" s="63">
        <f>($D$29*(1+$G$3)^4)*$C$29*2</f>
        <v>210685222.91474995</v>
      </c>
      <c r="J29" s="154" t="s">
        <v>41</v>
      </c>
      <c r="K29" s="155"/>
      <c r="L29" s="155"/>
      <c r="M29" s="155"/>
      <c r="N29" s="155"/>
      <c r="O29" s="155"/>
    </row>
    <row r="30" spans="1:15" x14ac:dyDescent="0.25">
      <c r="A30" s="59">
        <v>2</v>
      </c>
      <c r="B30" s="60" t="s">
        <v>147</v>
      </c>
      <c r="C30" s="10">
        <f>934</f>
        <v>934</v>
      </c>
      <c r="D30" s="62">
        <f>1786</f>
        <v>1786</v>
      </c>
      <c r="E30" s="62">
        <f t="shared" ref="E30:E31" si="0">C30*D30</f>
        <v>1668124</v>
      </c>
      <c r="F30" s="63">
        <f>($D30*(1+$G$3))*$C30</f>
        <v>1726508.3399999999</v>
      </c>
      <c r="G30" s="63">
        <f t="shared" ref="G30:I31" si="1">(F30*(1+$G$3))</f>
        <v>1786936.1318999997</v>
      </c>
      <c r="H30" s="63">
        <f t="shared" si="1"/>
        <v>1849478.8965164996</v>
      </c>
      <c r="I30" s="63">
        <f t="shared" si="1"/>
        <v>1914210.6578945769</v>
      </c>
      <c r="J30" s="64"/>
      <c r="K30" s="65"/>
      <c r="L30" s="65"/>
      <c r="M30" s="65"/>
      <c r="N30" s="65"/>
      <c r="O30" s="65"/>
    </row>
    <row r="31" spans="1:15" x14ac:dyDescent="0.25">
      <c r="A31" s="59">
        <v>3</v>
      </c>
      <c r="B31" s="78" t="s">
        <v>148</v>
      </c>
      <c r="C31" s="10">
        <f>1275</f>
        <v>1275</v>
      </c>
      <c r="D31" s="62">
        <f>964</f>
        <v>964</v>
      </c>
      <c r="E31" s="62">
        <f t="shared" si="0"/>
        <v>1229100</v>
      </c>
      <c r="F31" s="63">
        <f>($D31*(1+$G$3))*$C31</f>
        <v>1272118.4999999998</v>
      </c>
      <c r="G31" s="63">
        <f t="shared" si="1"/>
        <v>1316642.6474999997</v>
      </c>
      <c r="H31" s="63">
        <f t="shared" si="1"/>
        <v>1362725.1401624996</v>
      </c>
      <c r="I31" s="63">
        <f t="shared" si="1"/>
        <v>1410420.520068187</v>
      </c>
      <c r="J31" s="64"/>
      <c r="K31" s="1"/>
      <c r="L31" s="2"/>
      <c r="M31" s="2"/>
      <c r="N31" s="2"/>
      <c r="O31" s="3"/>
    </row>
    <row r="32" spans="1:15" x14ac:dyDescent="0.25">
      <c r="A32" s="5"/>
      <c r="B32" s="156" t="s">
        <v>43</v>
      </c>
      <c r="C32" s="157"/>
      <c r="D32" s="158"/>
      <c r="E32" s="46">
        <f>SUM(E29:E31)</f>
        <v>113057224</v>
      </c>
      <c r="F32" s="46">
        <f>SUM(F29:F31)</f>
        <v>136016826.83999997</v>
      </c>
      <c r="G32" s="46">
        <f>SUM(G29:G31)</f>
        <v>160445106.77939999</v>
      </c>
      <c r="H32" s="46">
        <f>SUM(H29:H31)</f>
        <v>186416745.70167896</v>
      </c>
      <c r="I32" s="46">
        <f>SUM(I29:I31)</f>
        <v>214009854.09271273</v>
      </c>
      <c r="J32" s="66"/>
      <c r="K32" s="2"/>
      <c r="L32" s="2"/>
      <c r="M32" s="3"/>
      <c r="N32" s="3"/>
      <c r="O32" s="3"/>
    </row>
    <row r="33" spans="1:15" x14ac:dyDescent="0.25">
      <c r="A33" s="2"/>
      <c r="B33" s="48"/>
      <c r="C33" s="67"/>
      <c r="D33" s="68"/>
      <c r="E33" s="68"/>
      <c r="F33" s="68"/>
      <c r="G33" s="68"/>
      <c r="H33" s="68"/>
      <c r="I33" s="1"/>
      <c r="J33" s="11"/>
      <c r="K33" s="66"/>
      <c r="L33" s="66"/>
      <c r="M33" s="2"/>
      <c r="N33" s="2"/>
      <c r="O33" s="3"/>
    </row>
    <row r="34" spans="1:15" x14ac:dyDescent="0.25">
      <c r="A34" s="2"/>
      <c r="B34" s="69"/>
      <c r="C34" s="67"/>
      <c r="D34" s="68"/>
      <c r="E34" s="68"/>
      <c r="F34" s="68"/>
      <c r="G34" s="68"/>
      <c r="H34" s="68"/>
      <c r="I34" s="1"/>
      <c r="J34" s="11"/>
      <c r="K34" s="3"/>
      <c r="L34" s="3"/>
      <c r="M34" s="2"/>
      <c r="N34" s="2"/>
      <c r="O34" s="3"/>
    </row>
    <row r="35" spans="1:15" ht="15.75" x14ac:dyDescent="0.25">
      <c r="A35" s="185" t="s">
        <v>44</v>
      </c>
      <c r="B35" s="186"/>
      <c r="C35" s="186"/>
      <c r="D35" s="186"/>
      <c r="E35" s="186"/>
      <c r="F35" s="186"/>
      <c r="G35" s="186"/>
      <c r="H35" s="186"/>
      <c r="I35" s="186"/>
      <c r="J35" s="187"/>
      <c r="K35" s="54"/>
      <c r="L35" s="54"/>
      <c r="M35" s="54"/>
      <c r="N35" s="44"/>
      <c r="O35" s="3"/>
    </row>
    <row r="36" spans="1:15" x14ac:dyDescent="0.25">
      <c r="A36" s="56" t="s">
        <v>11</v>
      </c>
      <c r="B36" s="70" t="s">
        <v>7</v>
      </c>
      <c r="C36" s="71" t="s">
        <v>45</v>
      </c>
      <c r="D36" s="71" t="s">
        <v>46</v>
      </c>
      <c r="E36" s="55" t="s">
        <v>31</v>
      </c>
      <c r="F36" s="56" t="s">
        <v>32</v>
      </c>
      <c r="G36" s="56" t="s">
        <v>33</v>
      </c>
      <c r="H36" s="56" t="s">
        <v>34</v>
      </c>
      <c r="I36" s="56" t="s">
        <v>35</v>
      </c>
      <c r="J36" s="14" t="s">
        <v>9</v>
      </c>
      <c r="K36" s="3"/>
      <c r="L36" s="3"/>
      <c r="M36" s="3"/>
      <c r="N36" s="3"/>
      <c r="O36" s="3"/>
    </row>
    <row r="37" spans="1:15" ht="15.75" x14ac:dyDescent="0.25">
      <c r="A37" s="101"/>
      <c r="B37" s="163" t="s">
        <v>47</v>
      </c>
      <c r="C37" s="163"/>
      <c r="D37" s="163"/>
      <c r="E37" s="163"/>
      <c r="F37" s="163"/>
      <c r="G37" s="163"/>
      <c r="H37" s="163"/>
      <c r="I37" s="164"/>
      <c r="J37" s="73"/>
      <c r="K37" s="3"/>
      <c r="L37" s="3"/>
      <c r="M37" s="3"/>
      <c r="N37" s="3"/>
      <c r="O37" s="3"/>
    </row>
    <row r="38" spans="1:15" ht="25.5" x14ac:dyDescent="0.25">
      <c r="A38" s="59" t="s">
        <v>48</v>
      </c>
      <c r="B38" s="74" t="s">
        <v>149</v>
      </c>
      <c r="C38" s="9">
        <v>1</v>
      </c>
      <c r="D38" s="24">
        <v>2000000</v>
      </c>
      <c r="E38" s="75">
        <f t="shared" ref="E38:E49" si="2">C38*D38</f>
        <v>2000000</v>
      </c>
      <c r="F38" s="75">
        <f>E38*(1+$G$3)</f>
        <v>2069999.9999999998</v>
      </c>
      <c r="G38" s="75">
        <f>F38*(1+$G$3)</f>
        <v>2142449.9999999995</v>
      </c>
      <c r="H38" s="75">
        <f>G38*(1+$G$3)</f>
        <v>2217435.7499999995</v>
      </c>
      <c r="I38" s="75">
        <f>H38*(1+$G$3)</f>
        <v>2295046.0012499993</v>
      </c>
      <c r="J38" s="76" t="s">
        <v>150</v>
      </c>
      <c r="K38" s="2"/>
      <c r="L38" s="2"/>
      <c r="M38" s="2"/>
      <c r="N38" s="3"/>
      <c r="O38" s="3"/>
    </row>
    <row r="39" spans="1:15" x14ac:dyDescent="0.25">
      <c r="A39" s="59" t="s">
        <v>51</v>
      </c>
      <c r="B39" s="74" t="s">
        <v>55</v>
      </c>
      <c r="C39" s="9"/>
      <c r="D39" s="24"/>
      <c r="E39" s="75">
        <f t="shared" si="2"/>
        <v>0</v>
      </c>
      <c r="F39" s="75">
        <f t="shared" ref="F39:F40" si="3">E39*(1+$G$3)</f>
        <v>0</v>
      </c>
      <c r="G39" s="75">
        <f>F39*(1+$G$3)</f>
        <v>0</v>
      </c>
      <c r="H39" s="75"/>
      <c r="I39" s="75"/>
      <c r="J39" s="10"/>
      <c r="K39" s="2"/>
      <c r="L39" s="2"/>
      <c r="M39" s="2"/>
      <c r="N39" s="3"/>
      <c r="O39" s="3"/>
    </row>
    <row r="40" spans="1:15" ht="25.5" x14ac:dyDescent="0.25">
      <c r="A40" s="59" t="s">
        <v>54</v>
      </c>
      <c r="B40" s="60" t="s">
        <v>136</v>
      </c>
      <c r="C40" s="9">
        <v>1</v>
      </c>
      <c r="D40" s="24">
        <f>3271412+2471040</f>
        <v>5742452</v>
      </c>
      <c r="E40" s="75">
        <f t="shared" si="2"/>
        <v>5742452</v>
      </c>
      <c r="F40" s="75">
        <f t="shared" si="3"/>
        <v>5943437.8199999994</v>
      </c>
      <c r="G40" s="75">
        <f>F40*(1+$G$3)</f>
        <v>6151458.143699999</v>
      </c>
      <c r="H40" s="75">
        <f>G40*(1+$G$3)</f>
        <v>6366759.1787294988</v>
      </c>
      <c r="I40" s="75">
        <f>H40*(1+$G$3)</f>
        <v>6589595.7499850309</v>
      </c>
      <c r="J40" s="76" t="s">
        <v>151</v>
      </c>
      <c r="K40" s="2"/>
      <c r="L40" s="3"/>
      <c r="M40" s="3"/>
      <c r="N40" s="3"/>
      <c r="O40" s="3"/>
    </row>
    <row r="41" spans="1:15" x14ac:dyDescent="0.25">
      <c r="A41" s="59" t="s">
        <v>57</v>
      </c>
      <c r="B41" s="60"/>
      <c r="C41" s="9"/>
      <c r="D41" s="24"/>
      <c r="E41" s="75">
        <f t="shared" si="2"/>
        <v>0</v>
      </c>
      <c r="F41" s="75">
        <f>D41*C41</f>
        <v>0</v>
      </c>
      <c r="G41" s="75">
        <f>F41*(1+$G$3)</f>
        <v>0</v>
      </c>
      <c r="H41" s="75">
        <f t="shared" ref="H41:I41" si="4">G41</f>
        <v>0</v>
      </c>
      <c r="I41" s="75">
        <f t="shared" si="4"/>
        <v>0</v>
      </c>
      <c r="J41" s="10"/>
      <c r="K41" s="2"/>
      <c r="L41" s="3"/>
      <c r="M41" s="3"/>
      <c r="N41" s="3"/>
      <c r="O41" s="3"/>
    </row>
    <row r="42" spans="1:15" x14ac:dyDescent="0.25">
      <c r="A42" s="56">
        <v>2</v>
      </c>
      <c r="B42" s="140" t="s">
        <v>60</v>
      </c>
      <c r="C42" s="141"/>
      <c r="D42" s="141"/>
      <c r="E42" s="141"/>
      <c r="F42" s="141"/>
      <c r="G42" s="141"/>
      <c r="H42" s="141"/>
      <c r="I42" s="142"/>
      <c r="J42" s="77"/>
      <c r="K42" s="2"/>
      <c r="L42" s="3"/>
      <c r="M42" s="3"/>
      <c r="N42" s="3"/>
      <c r="O42" s="3"/>
    </row>
    <row r="43" spans="1:15" ht="38.25" x14ac:dyDescent="0.25">
      <c r="A43" s="59" t="s">
        <v>48</v>
      </c>
      <c r="B43" s="78" t="s">
        <v>61</v>
      </c>
      <c r="C43" s="9">
        <v>48</v>
      </c>
      <c r="D43" s="24">
        <v>400000</v>
      </c>
      <c r="E43" s="75">
        <f>C43*D43</f>
        <v>19200000</v>
      </c>
      <c r="F43" s="75">
        <f>E43*(1+$G$3)</f>
        <v>19872000</v>
      </c>
      <c r="G43" s="75">
        <f>F43*(1+$G$3)</f>
        <v>20567520</v>
      </c>
      <c r="H43" s="75">
        <f>G43*(1+$G$3)</f>
        <v>21287383.199999999</v>
      </c>
      <c r="I43" s="75">
        <f>H43*(1+$G$3)</f>
        <v>22032441.611999996</v>
      </c>
      <c r="J43" s="76" t="s">
        <v>152</v>
      </c>
      <c r="K43" s="2"/>
      <c r="L43" s="3"/>
      <c r="M43" s="3"/>
      <c r="N43" s="3"/>
      <c r="O43" s="3"/>
    </row>
    <row r="44" spans="1:15" ht="38.25" x14ac:dyDescent="0.25">
      <c r="A44" s="56" t="s">
        <v>51</v>
      </c>
      <c r="B44" s="74" t="s">
        <v>62</v>
      </c>
      <c r="C44" s="9">
        <v>1</v>
      </c>
      <c r="D44" s="24">
        <v>291600</v>
      </c>
      <c r="E44" s="75">
        <f t="shared" ref="E44:E46" si="5">C44*D44</f>
        <v>291600</v>
      </c>
      <c r="F44" s="75">
        <f>D44*C44</f>
        <v>291600</v>
      </c>
      <c r="G44" s="75">
        <f>F44</f>
        <v>291600</v>
      </c>
      <c r="H44" s="75">
        <f t="shared" ref="H44:I46" si="6">G44</f>
        <v>291600</v>
      </c>
      <c r="I44" s="75">
        <f t="shared" si="6"/>
        <v>291600</v>
      </c>
      <c r="J44" s="76" t="s">
        <v>153</v>
      </c>
      <c r="K44" s="2"/>
      <c r="L44" s="3"/>
      <c r="M44" s="3"/>
      <c r="N44" s="3"/>
      <c r="O44" s="3"/>
    </row>
    <row r="45" spans="1:15" ht="51" x14ac:dyDescent="0.25">
      <c r="A45" s="56" t="s">
        <v>54</v>
      </c>
      <c r="B45" s="74" t="s">
        <v>154</v>
      </c>
      <c r="C45" s="9">
        <v>12</v>
      </c>
      <c r="D45" s="24">
        <f>291600+100000</f>
        <v>391600</v>
      </c>
      <c r="E45" s="75">
        <f t="shared" si="5"/>
        <v>4699200</v>
      </c>
      <c r="F45" s="75">
        <f>D45*C45</f>
        <v>4699200</v>
      </c>
      <c r="G45" s="75">
        <f>F45</f>
        <v>4699200</v>
      </c>
      <c r="H45" s="75">
        <f t="shared" si="6"/>
        <v>4699200</v>
      </c>
      <c r="I45" s="75">
        <f t="shared" si="6"/>
        <v>4699200</v>
      </c>
      <c r="J45" s="76" t="s">
        <v>155</v>
      </c>
      <c r="K45" s="2"/>
      <c r="L45" s="3"/>
      <c r="M45" s="3"/>
      <c r="N45" s="3"/>
      <c r="O45" s="3"/>
    </row>
    <row r="46" spans="1:15" x14ac:dyDescent="0.25">
      <c r="A46" s="56" t="s">
        <v>57</v>
      </c>
      <c r="B46" s="74" t="s">
        <v>164</v>
      </c>
      <c r="C46" s="9">
        <v>1</v>
      </c>
      <c r="D46" s="24">
        <v>3000000</v>
      </c>
      <c r="E46" s="75">
        <f t="shared" si="5"/>
        <v>3000000</v>
      </c>
      <c r="F46" s="75">
        <f>E46</f>
        <v>3000000</v>
      </c>
      <c r="G46" s="75">
        <f t="shared" ref="G46" si="7">F46</f>
        <v>3000000</v>
      </c>
      <c r="H46" s="75">
        <f t="shared" si="6"/>
        <v>3000000</v>
      </c>
      <c r="I46" s="75">
        <f>H46</f>
        <v>3000000</v>
      </c>
      <c r="J46" s="76"/>
      <c r="K46" s="2"/>
      <c r="L46" s="3"/>
      <c r="M46" s="3"/>
      <c r="N46" s="3"/>
      <c r="O46" s="3"/>
    </row>
    <row r="47" spans="1:15" x14ac:dyDescent="0.25">
      <c r="A47" s="56">
        <v>3</v>
      </c>
      <c r="B47" s="162"/>
      <c r="C47" s="163"/>
      <c r="D47" s="163"/>
      <c r="E47" s="163"/>
      <c r="F47" s="163"/>
      <c r="G47" s="163"/>
      <c r="H47" s="163"/>
      <c r="I47" s="164"/>
      <c r="J47" s="77"/>
      <c r="K47" s="2"/>
      <c r="L47" s="3"/>
      <c r="M47" s="3"/>
      <c r="N47" s="3"/>
      <c r="O47" s="3"/>
    </row>
    <row r="48" spans="1:15" ht="25.5" x14ac:dyDescent="0.25">
      <c r="A48" s="59" t="s">
        <v>48</v>
      </c>
      <c r="B48" s="78" t="s">
        <v>156</v>
      </c>
      <c r="C48" s="9">
        <v>1</v>
      </c>
      <c r="D48" s="24">
        <v>1500000</v>
      </c>
      <c r="E48" s="75">
        <f t="shared" si="2"/>
        <v>1500000</v>
      </c>
      <c r="F48" s="75"/>
      <c r="G48" s="75">
        <f t="shared" ref="F48:I49" si="8">F48*(1+$G$3)</f>
        <v>0</v>
      </c>
      <c r="H48" s="75">
        <v>1500000</v>
      </c>
      <c r="I48" s="75"/>
      <c r="J48" s="76" t="s">
        <v>157</v>
      </c>
      <c r="K48" s="2"/>
      <c r="L48" s="3"/>
      <c r="M48" s="3"/>
      <c r="N48" s="3"/>
      <c r="O48" s="3"/>
    </row>
    <row r="49" spans="1:15" ht="25.5" x14ac:dyDescent="0.25">
      <c r="A49" s="59" t="s">
        <v>51</v>
      </c>
      <c r="B49" s="78" t="s">
        <v>77</v>
      </c>
      <c r="C49" s="9">
        <v>1</v>
      </c>
      <c r="D49" s="24">
        <f>73440000 +350000+350000</f>
        <v>74140000</v>
      </c>
      <c r="E49" s="75">
        <f t="shared" si="2"/>
        <v>74140000</v>
      </c>
      <c r="F49" s="75">
        <f t="shared" si="8"/>
        <v>76734900</v>
      </c>
      <c r="G49" s="75">
        <f t="shared" si="8"/>
        <v>79420621.5</v>
      </c>
      <c r="H49" s="75">
        <f t="shared" si="8"/>
        <v>82200343.252499998</v>
      </c>
      <c r="I49" s="75">
        <f t="shared" si="8"/>
        <v>85077355.266337484</v>
      </c>
      <c r="J49" s="76" t="s">
        <v>158</v>
      </c>
      <c r="K49" s="2"/>
      <c r="L49" s="3"/>
      <c r="M49" s="3"/>
      <c r="N49" s="3"/>
      <c r="O49" s="3"/>
    </row>
    <row r="50" spans="1:15" x14ac:dyDescent="0.25">
      <c r="A50" s="56"/>
      <c r="B50" s="70" t="s">
        <v>79</v>
      </c>
      <c r="C50" s="70"/>
      <c r="D50" s="70"/>
      <c r="E50" s="46">
        <f>SUM(E38:E49)</f>
        <v>110573252</v>
      </c>
      <c r="F50" s="46">
        <f>SUM(F38:F49)</f>
        <v>112611137.81999999</v>
      </c>
      <c r="G50" s="46">
        <f t="shared" ref="G50:I50" si="9">SUM(G38:G49)</f>
        <v>116272849.6437</v>
      </c>
      <c r="H50" s="46">
        <f t="shared" si="9"/>
        <v>121562721.38122949</v>
      </c>
      <c r="I50" s="46">
        <f t="shared" si="9"/>
        <v>123985238.62957251</v>
      </c>
      <c r="J50" s="80"/>
      <c r="K50" s="2"/>
      <c r="L50" s="3"/>
      <c r="M50" s="3"/>
      <c r="N50" s="3"/>
      <c r="O50" s="3"/>
    </row>
    <row r="51" spans="1:15" x14ac:dyDescent="0.25">
      <c r="A51" s="2" t="s">
        <v>159</v>
      </c>
      <c r="B51" s="48"/>
      <c r="C51" s="1"/>
      <c r="D51" s="1"/>
      <c r="E51" s="11"/>
      <c r="F51" s="1"/>
      <c r="G51" s="1"/>
      <c r="H51" s="1"/>
      <c r="I51" s="1"/>
      <c r="J51" s="1"/>
      <c r="K51" s="2"/>
      <c r="L51" s="2"/>
      <c r="M51" s="3"/>
      <c r="N51" s="3"/>
      <c r="O51" s="3"/>
    </row>
    <row r="52" spans="1:15" x14ac:dyDescent="0.25">
      <c r="A52" s="2"/>
      <c r="B52" s="2"/>
      <c r="C52" s="81"/>
      <c r="D52" s="2"/>
      <c r="E52" s="2"/>
      <c r="F52" s="2"/>
      <c r="G52" s="2"/>
      <c r="H52" s="2"/>
      <c r="I52" s="2"/>
      <c r="J52" s="2"/>
      <c r="K52" s="2"/>
      <c r="L52" s="2"/>
      <c r="M52" s="3"/>
      <c r="N52" s="3"/>
      <c r="O52" s="3"/>
    </row>
    <row r="53" spans="1:15" x14ac:dyDescent="0.25">
      <c r="A53" s="2"/>
      <c r="B53" s="2"/>
      <c r="C53" s="81"/>
      <c r="D53" s="2"/>
      <c r="E53" s="2"/>
      <c r="F53" s="2"/>
      <c r="G53" s="2"/>
      <c r="H53" s="2"/>
      <c r="I53" s="2"/>
      <c r="J53" s="2"/>
      <c r="K53" s="2"/>
      <c r="L53" s="2"/>
      <c r="M53" s="3"/>
      <c r="N53" s="3"/>
      <c r="O53" s="3"/>
    </row>
    <row r="54" spans="1:15" ht="15.75" x14ac:dyDescent="0.25">
      <c r="A54" s="178" t="s">
        <v>80</v>
      </c>
      <c r="B54" s="179"/>
      <c r="C54" s="179"/>
      <c r="D54" s="179"/>
      <c r="E54" s="179"/>
      <c r="F54" s="179"/>
      <c r="G54" s="179"/>
      <c r="H54" s="180"/>
      <c r="I54" s="2"/>
      <c r="J54" s="2"/>
      <c r="K54" s="2"/>
      <c r="L54" s="2"/>
      <c r="M54" s="3"/>
      <c r="N54" s="3"/>
      <c r="O54" s="3"/>
    </row>
    <row r="55" spans="1:15" x14ac:dyDescent="0.25">
      <c r="A55" s="56" t="s">
        <v>11</v>
      </c>
      <c r="B55" s="82" t="s">
        <v>81</v>
      </c>
      <c r="C55" s="83" t="s">
        <v>82</v>
      </c>
      <c r="D55" s="84" t="s">
        <v>31</v>
      </c>
      <c r="E55" s="84" t="s">
        <v>32</v>
      </c>
      <c r="F55" s="84" t="s">
        <v>33</v>
      </c>
      <c r="G55" s="84" t="s">
        <v>34</v>
      </c>
      <c r="H55" s="84" t="s">
        <v>35</v>
      </c>
      <c r="I55" s="85"/>
      <c r="J55" s="85"/>
      <c r="K55" s="2"/>
      <c r="L55" s="2"/>
      <c r="M55" s="3"/>
      <c r="N55" s="3"/>
      <c r="O55" s="3"/>
    </row>
    <row r="56" spans="1:15" x14ac:dyDescent="0.25">
      <c r="A56" s="59">
        <v>1</v>
      </c>
      <c r="B56" s="86" t="s">
        <v>83</v>
      </c>
      <c r="C56" s="87"/>
      <c r="D56" s="87">
        <f>E32</f>
        <v>113057224</v>
      </c>
      <c r="E56" s="87">
        <f>F32</f>
        <v>136016826.83999997</v>
      </c>
      <c r="F56" s="87">
        <f>G32</f>
        <v>160445106.77939999</v>
      </c>
      <c r="G56" s="87">
        <f>H32</f>
        <v>186416745.70167896</v>
      </c>
      <c r="H56" s="87">
        <f>I32</f>
        <v>214009854.09271273</v>
      </c>
      <c r="I56" s="88"/>
      <c r="J56" s="88"/>
      <c r="K56" s="2"/>
      <c r="L56" s="2"/>
      <c r="M56" s="3"/>
      <c r="N56" s="3"/>
      <c r="O56" s="3"/>
    </row>
    <row r="57" spans="1:15" x14ac:dyDescent="0.25">
      <c r="A57" s="59">
        <v>2</v>
      </c>
      <c r="B57" s="86" t="s">
        <v>84</v>
      </c>
      <c r="C57" s="89"/>
      <c r="D57" s="87">
        <f>E50</f>
        <v>110573252</v>
      </c>
      <c r="E57" s="87">
        <f>F50</f>
        <v>112611137.81999999</v>
      </c>
      <c r="F57" s="87">
        <f>G50</f>
        <v>116272849.6437</v>
      </c>
      <c r="G57" s="87">
        <f>H50</f>
        <v>121562721.38122949</v>
      </c>
      <c r="H57" s="87">
        <f>I50</f>
        <v>123985238.62957251</v>
      </c>
      <c r="I57" s="88"/>
      <c r="J57" s="88"/>
      <c r="K57" s="2"/>
      <c r="L57" s="2"/>
      <c r="M57" s="3"/>
      <c r="N57" s="3"/>
      <c r="O57" s="3"/>
    </row>
    <row r="58" spans="1:15" x14ac:dyDescent="0.25">
      <c r="A58" s="59">
        <v>3</v>
      </c>
      <c r="B58" s="86" t="s">
        <v>134</v>
      </c>
      <c r="C58" s="89">
        <f>SUM(E43:E46)/2</f>
        <v>13595400</v>
      </c>
      <c r="D58" s="87"/>
      <c r="E58" s="87"/>
      <c r="F58" s="87"/>
      <c r="G58" s="87"/>
      <c r="H58" s="87"/>
      <c r="I58" s="88"/>
      <c r="J58" s="88"/>
      <c r="K58" s="2"/>
      <c r="L58" s="2"/>
      <c r="M58" s="3"/>
      <c r="N58" s="3"/>
      <c r="O58" s="3"/>
    </row>
    <row r="59" spans="1:15" x14ac:dyDescent="0.25">
      <c r="A59" s="59">
        <v>4</v>
      </c>
      <c r="B59" s="86" t="s">
        <v>85</v>
      </c>
      <c r="C59" s="89">
        <f>C23</f>
        <v>157160000</v>
      </c>
      <c r="D59" s="87"/>
      <c r="E59" s="87"/>
      <c r="F59" s="87"/>
      <c r="G59" s="87"/>
      <c r="H59" s="87"/>
      <c r="I59" s="88"/>
      <c r="J59" s="88"/>
      <c r="K59" s="2"/>
      <c r="L59" s="2"/>
      <c r="M59" s="3"/>
      <c r="N59" s="3"/>
      <c r="O59" s="3"/>
    </row>
    <row r="60" spans="1:15" x14ac:dyDescent="0.25">
      <c r="A60" s="59">
        <v>5</v>
      </c>
      <c r="B60" s="86" t="s">
        <v>87</v>
      </c>
      <c r="C60" s="89"/>
      <c r="D60" s="87"/>
      <c r="E60" s="87"/>
      <c r="F60" s="87"/>
      <c r="G60" s="87"/>
      <c r="H60" s="87">
        <f>G22</f>
        <v>81889665.478125036</v>
      </c>
      <c r="I60" s="88"/>
      <c r="J60" s="88"/>
      <c r="K60" s="2"/>
      <c r="L60" s="2"/>
      <c r="M60" s="3"/>
      <c r="N60" s="3"/>
      <c r="O60" s="3"/>
    </row>
    <row r="61" spans="1:15" x14ac:dyDescent="0.25">
      <c r="A61" s="59">
        <v>6</v>
      </c>
      <c r="B61" s="86" t="s">
        <v>135</v>
      </c>
      <c r="C61" s="89"/>
      <c r="D61" s="87"/>
      <c r="E61" s="87"/>
      <c r="F61" s="87"/>
      <c r="G61" s="87"/>
      <c r="H61" s="87">
        <f>C58</f>
        <v>13595400</v>
      </c>
      <c r="I61" s="88"/>
      <c r="J61" s="88"/>
      <c r="K61" s="2"/>
      <c r="L61" s="2"/>
      <c r="M61" s="3"/>
      <c r="N61" s="3"/>
      <c r="O61" s="3"/>
    </row>
    <row r="62" spans="1:15" x14ac:dyDescent="0.25">
      <c r="A62" s="59"/>
      <c r="B62" s="86" t="s">
        <v>89</v>
      </c>
      <c r="C62" s="89">
        <f>-SUM(C56:C61)</f>
        <v>-170755400</v>
      </c>
      <c r="D62" s="87">
        <f>SUM(D56-D57-D59+D60)</f>
        <v>2483972</v>
      </c>
      <c r="E62" s="87">
        <f>SUM(E56-E57-E59+E60)</f>
        <v>23405689.019999981</v>
      </c>
      <c r="F62" s="87">
        <f>SUM(F56-F57-F59+F60)</f>
        <v>44172257.135699987</v>
      </c>
      <c r="G62" s="87">
        <f>SUM(G56-G57-G59+G60)</f>
        <v>64854024.320449471</v>
      </c>
      <c r="H62" s="87">
        <f>SUM(H56-H57-H59+H60)</f>
        <v>171914280.94126526</v>
      </c>
      <c r="I62" s="88"/>
      <c r="J62" s="88"/>
      <c r="K62" s="2"/>
      <c r="L62" s="2"/>
      <c r="M62" s="3"/>
      <c r="N62" s="3"/>
      <c r="O62" s="3"/>
    </row>
    <row r="63" spans="1:15" x14ac:dyDescent="0.25">
      <c r="A63" s="2" t="s">
        <v>160</v>
      </c>
      <c r="B63" s="108"/>
      <c r="C63" s="108"/>
      <c r="D63" s="108"/>
      <c r="E63" s="108"/>
      <c r="F63" s="108"/>
      <c r="G63" s="108"/>
      <c r="H63" s="108"/>
      <c r="I63" s="68"/>
      <c r="J63" s="68"/>
      <c r="K63" s="2"/>
      <c r="L63" s="2"/>
      <c r="M63" s="3"/>
      <c r="N63" s="3"/>
      <c r="O63" s="3"/>
    </row>
    <row r="64" spans="1:15" x14ac:dyDescent="0.25">
      <c r="A64" s="2"/>
      <c r="B64" s="2"/>
      <c r="C64" s="2"/>
      <c r="D64" s="2"/>
      <c r="E64" s="2"/>
      <c r="F64" s="2"/>
      <c r="G64" s="2"/>
      <c r="H64" s="2"/>
      <c r="I64" s="68"/>
      <c r="J64" s="68"/>
      <c r="K64" s="2"/>
      <c r="L64" s="2"/>
      <c r="M64" s="3"/>
      <c r="N64" s="3"/>
      <c r="O64" s="3"/>
    </row>
    <row r="65" spans="1:15" x14ac:dyDescent="0.25">
      <c r="A65" s="2"/>
      <c r="B65" s="2"/>
      <c r="C65" s="2"/>
      <c r="D65" s="2"/>
      <c r="E65" s="2"/>
      <c r="F65" s="2"/>
      <c r="G65" s="2"/>
      <c r="H65" s="2"/>
      <c r="I65" s="68"/>
      <c r="J65" s="68"/>
      <c r="K65" s="2"/>
      <c r="L65" s="2"/>
      <c r="M65" s="3"/>
      <c r="N65" s="3"/>
      <c r="O65" s="3"/>
    </row>
    <row r="66" spans="1:15" ht="15.75" x14ac:dyDescent="0.25">
      <c r="A66" s="182" t="s">
        <v>90</v>
      </c>
      <c r="B66" s="183"/>
      <c r="C66" s="184"/>
      <c r="D66" s="2"/>
      <c r="E66" s="2"/>
      <c r="F66" s="2"/>
      <c r="G66" s="90"/>
      <c r="H66" s="2"/>
      <c r="I66" s="2"/>
      <c r="J66" s="2"/>
      <c r="K66" s="2"/>
      <c r="L66" s="2"/>
      <c r="M66" s="3"/>
      <c r="N66" s="3"/>
      <c r="O66" s="3"/>
    </row>
    <row r="67" spans="1:15" x14ac:dyDescent="0.25">
      <c r="A67" s="91" t="s">
        <v>11</v>
      </c>
      <c r="B67" s="92" t="s">
        <v>91</v>
      </c>
      <c r="C67" s="92" t="s">
        <v>92</v>
      </c>
      <c r="D67" s="2"/>
      <c r="E67" s="2"/>
      <c r="F67" s="2"/>
      <c r="G67" s="2"/>
      <c r="H67" s="2"/>
      <c r="I67" s="2"/>
      <c r="J67" s="2"/>
      <c r="K67" s="85"/>
      <c r="L67" s="85"/>
      <c r="M67" s="3"/>
      <c r="N67" s="3"/>
      <c r="O67" s="3"/>
    </row>
    <row r="68" spans="1:15" ht="25.5" x14ac:dyDescent="0.25">
      <c r="A68" s="93">
        <v>1</v>
      </c>
      <c r="B68" s="94" t="s">
        <v>93</v>
      </c>
      <c r="C68" s="95">
        <f>NPV(C72,D62:H62)+C62</f>
        <v>35074985.603800356</v>
      </c>
      <c r="D68" s="3"/>
      <c r="E68" s="3"/>
      <c r="F68" s="3"/>
      <c r="G68" s="3"/>
      <c r="H68" s="3"/>
      <c r="I68" s="3"/>
      <c r="J68" s="3"/>
      <c r="K68" s="88"/>
      <c r="L68" s="88"/>
      <c r="M68" s="3"/>
      <c r="N68" s="3"/>
      <c r="O68" s="3"/>
    </row>
    <row r="69" spans="1:15" ht="25.5" x14ac:dyDescent="0.25">
      <c r="A69" s="93">
        <v>2</v>
      </c>
      <c r="B69" s="94" t="s">
        <v>212</v>
      </c>
      <c r="C69" s="95">
        <f>NPV(C72,D62:H62)</f>
        <v>205830385.60380036</v>
      </c>
      <c r="D69" s="3"/>
      <c r="E69" s="3"/>
      <c r="F69" s="3"/>
      <c r="G69" s="3"/>
      <c r="H69" s="3"/>
      <c r="I69" s="3"/>
      <c r="J69" s="3"/>
      <c r="K69" s="88"/>
      <c r="L69" s="88"/>
      <c r="M69" s="3"/>
      <c r="N69" s="3"/>
      <c r="O69" s="3"/>
    </row>
    <row r="70" spans="1:15" x14ac:dyDescent="0.25">
      <c r="A70" s="93">
        <v>3</v>
      </c>
      <c r="B70" s="96" t="s">
        <v>322</v>
      </c>
      <c r="C70" s="97">
        <f>IRR(C62:H62)</f>
        <v>0.15115066776034691</v>
      </c>
      <c r="D70" s="3"/>
      <c r="E70" s="3"/>
      <c r="F70" s="3"/>
      <c r="G70" s="3"/>
      <c r="H70" s="3"/>
      <c r="I70" s="3"/>
      <c r="J70" s="3"/>
      <c r="K70" s="88"/>
      <c r="L70" s="88"/>
      <c r="M70" s="3"/>
      <c r="N70" s="3"/>
      <c r="O70" s="3"/>
    </row>
    <row r="71" spans="1:15" x14ac:dyDescent="0.25">
      <c r="A71" s="2"/>
      <c r="B71" s="2"/>
      <c r="C71" s="2"/>
      <c r="D71" s="3"/>
      <c r="E71" s="3"/>
      <c r="F71" s="3"/>
      <c r="G71" s="3"/>
      <c r="H71" s="3"/>
      <c r="I71" s="3"/>
      <c r="J71" s="3"/>
      <c r="K71" s="88"/>
      <c r="L71" s="88"/>
      <c r="M71" s="3"/>
      <c r="N71" s="3"/>
      <c r="O71" s="3"/>
    </row>
    <row r="72" spans="1:15" x14ac:dyDescent="0.25">
      <c r="A72" s="2"/>
      <c r="B72" s="109" t="s">
        <v>94</v>
      </c>
      <c r="C72" s="110">
        <v>0.1</v>
      </c>
      <c r="D72" s="3"/>
      <c r="E72" s="3"/>
      <c r="F72" s="3"/>
      <c r="G72" s="3"/>
      <c r="H72" s="3"/>
      <c r="I72" s="3"/>
      <c r="J72" s="3"/>
      <c r="K72" s="68"/>
      <c r="L72" s="68"/>
      <c r="M72" s="3"/>
      <c r="N72" s="3"/>
      <c r="O72" s="3"/>
    </row>
    <row r="73" spans="1:15" x14ac:dyDescent="0.25">
      <c r="A73" s="44"/>
      <c r="B73" s="44"/>
      <c r="C73" s="44"/>
      <c r="D73" s="44"/>
      <c r="E73" s="44"/>
      <c r="F73" s="44"/>
      <c r="G73" s="44"/>
      <c r="H73" s="44"/>
      <c r="I73" s="44"/>
      <c r="J73" s="44"/>
      <c r="K73" s="44"/>
      <c r="L73" s="44"/>
      <c r="M73" s="44"/>
      <c r="N73" s="44"/>
      <c r="O73" s="44"/>
    </row>
  </sheetData>
  <mergeCells count="21">
    <mergeCell ref="B37:I37"/>
    <mergeCell ref="B42:I42"/>
    <mergeCell ref="B47:I47"/>
    <mergeCell ref="A54:H54"/>
    <mergeCell ref="A66:C66"/>
    <mergeCell ref="J29:O29"/>
    <mergeCell ref="B32:D32"/>
    <mergeCell ref="A35:J35"/>
    <mergeCell ref="A1:H1"/>
    <mergeCell ref="A7:D7"/>
    <mergeCell ref="F7:G7"/>
    <mergeCell ref="B9:D9"/>
    <mergeCell ref="B16:D16"/>
    <mergeCell ref="B19:D19"/>
    <mergeCell ref="A22:B22"/>
    <mergeCell ref="A26:I26"/>
    <mergeCell ref="A27:A28"/>
    <mergeCell ref="B27:B28"/>
    <mergeCell ref="C27:C28"/>
    <mergeCell ref="D27:D28"/>
    <mergeCell ref="E28:I2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Plantilla</vt:lpstr>
      <vt:lpstr>1InvernaderoHidroponicoSolarV4</vt:lpstr>
      <vt:lpstr>2FrigorificoSolarV2</vt:lpstr>
      <vt:lpstr>3RutaTuristicaSolarV3</vt:lpstr>
      <vt:lpstr>4Camarones_sensibilidad2</vt:lpstr>
      <vt:lpstr>5AguaPotableV1</vt:lpstr>
      <vt:lpstr>6HospedajeAltaAcondSolarV2</vt:lpstr>
      <vt:lpstr>7Microredsensibilidad2</vt:lpstr>
      <vt:lpstr>8Invernaderolilum_modificado2</vt:lpstr>
      <vt:lpstr>9Lanacamelidomodificado1</vt:lpstr>
      <vt:lpstr>10Rutastroperasmodificado2</vt:lpstr>
      <vt:lpstr>11DeshidratadorSolarV2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angelica contreras contreras</dc:creator>
  <cp:lastModifiedBy>Visualogica</cp:lastModifiedBy>
  <dcterms:created xsi:type="dcterms:W3CDTF">2018-02-05T11:20:29Z</dcterms:created>
  <dcterms:modified xsi:type="dcterms:W3CDTF">2018-04-25T15:58:39Z</dcterms:modified>
</cp:coreProperties>
</file>